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filterPrivacy="1"/>
  <bookViews>
    <workbookView xWindow="360" yWindow="810" windowWidth="19575" windowHeight="7080"/>
  </bookViews>
  <sheets>
    <sheet name="Смета" sheetId="1" r:id="rId1"/>
  </sheets>
  <definedNames>
    <definedName name="_xlnm.Print_Titles" localSheetId="0">Смета!$1:$1</definedName>
  </definedNames>
  <calcPr calcId="124519"/>
</workbook>
</file>

<file path=xl/calcChain.xml><?xml version="1.0" encoding="utf-8"?>
<calcChain xmlns="http://schemas.openxmlformats.org/spreadsheetml/2006/main">
  <c r="M21" i="1"/>
  <c r="L21"/>
  <c r="K21"/>
  <c r="J21"/>
  <c r="I21"/>
  <c r="H21"/>
  <c r="N21" s="1"/>
  <c r="M19"/>
  <c r="L19"/>
  <c r="K19"/>
  <c r="J19"/>
  <c r="N19" s="1"/>
  <c r="I19"/>
  <c r="H19"/>
  <c r="M18"/>
  <c r="L18"/>
  <c r="K18"/>
  <c r="J18"/>
  <c r="N18" s="1"/>
  <c r="I18"/>
  <c r="H18"/>
  <c r="M14"/>
  <c r="M22" s="1"/>
  <c r="L14"/>
  <c r="K14"/>
  <c r="J14"/>
  <c r="I14"/>
  <c r="I22" s="1"/>
  <c r="H14"/>
  <c r="N14" s="1"/>
  <c r="M10"/>
  <c r="L10"/>
  <c r="L22" s="1"/>
  <c r="K10"/>
  <c r="J10"/>
  <c r="I10"/>
  <c r="H10"/>
  <c r="N10" s="1"/>
  <c r="M6"/>
  <c r="L6"/>
  <c r="K6"/>
  <c r="K22" s="1"/>
  <c r="J6"/>
  <c r="J22" s="1"/>
  <c r="I6"/>
  <c r="H6"/>
  <c r="N6" l="1"/>
  <c r="N22" s="1"/>
  <c r="H22"/>
</calcChain>
</file>

<file path=xl/sharedStrings.xml><?xml version="1.0" encoding="utf-8"?>
<sst xmlns="http://schemas.openxmlformats.org/spreadsheetml/2006/main" count="62" uniqueCount="60">
  <si>
    <t/>
  </si>
  <si>
    <t>№ ПП</t>
  </si>
  <si>
    <t>КОД</t>
  </si>
  <si>
    <t>НАЗВАНИЕ РАБОТЫ</t>
  </si>
  <si>
    <t>ИЗМЕРИТЕЛЬ</t>
  </si>
  <si>
    <t>КОЛ-ВО ЕД. ИЗМ.</t>
  </si>
  <si>
    <t>ПЕРИОДИЧ- НОСТЬ В ГОД</t>
  </si>
  <si>
    <t>ТРУД. РЕСУРСЫ, РУБ.</t>
  </si>
  <si>
    <t>МАТЕР. РЕСУРСЫ, РУБ.</t>
  </si>
  <si>
    <t>МАШ. МЕХ., РУБ.</t>
  </si>
  <si>
    <t>НАКЛ. РАСХОДЫ, РУБ.</t>
  </si>
  <si>
    <t>ПРИБЫЛЬ, РУБ.</t>
  </si>
  <si>
    <t>РАСХОДЫ НА УПРАВ., РУБ.</t>
  </si>
  <si>
    <t>СТОИМОСТЬ, РУБ.</t>
  </si>
  <si>
    <t>Белкина 25</t>
  </si>
  <si>
    <t>Дата изменения:</t>
  </si>
  <si>
    <t>21.03.2022</t>
  </si>
  <si>
    <t>Общая площадь, кв.м:</t>
  </si>
  <si>
    <t>1.9</t>
  </si>
  <si>
    <t>Оконные и дверные проемы</t>
  </si>
  <si>
    <t>1.9.1</t>
  </si>
  <si>
    <t>Восстановление (ремонт) дверей в помещениях  общего  пользования</t>
  </si>
  <si>
    <t>1.9.1.19</t>
  </si>
  <si>
    <t>Смена замков накладных</t>
  </si>
  <si>
    <t>100 замков</t>
  </si>
  <si>
    <t>2.1</t>
  </si>
  <si>
    <t>Система теплоснабжения</t>
  </si>
  <si>
    <t>2.1.9</t>
  </si>
  <si>
    <t>Модернизация системы отопления и горячего водоснабжения</t>
  </si>
  <si>
    <t>2.1.9.4</t>
  </si>
  <si>
    <t>Установка запорных вентилей на радиаторах</t>
  </si>
  <si>
    <t>2.1.9.4.2</t>
  </si>
  <si>
    <t>Установка запорных вентилей на радиаторах, диаметром 20 мм</t>
  </si>
  <si>
    <t>1 прибор</t>
  </si>
  <si>
    <t>2.2</t>
  </si>
  <si>
    <t>Системы холодного и горячего водоснабжения</t>
  </si>
  <si>
    <t>2.2.1</t>
  </si>
  <si>
    <t>Ремонт,  замена  внутридомовых сетей водоснабжения</t>
  </si>
  <si>
    <t>2.2.1.6</t>
  </si>
  <si>
    <t>Временная заделка свищей и трещин на внутренних трубопроводах и стояках</t>
  </si>
  <si>
    <t>2.2.1.6.1</t>
  </si>
  <si>
    <t>Временная заделка свищей и трещин на внутренних трубопроводах и стояках при диаметре трубопровода до 50 мм</t>
  </si>
  <si>
    <t>100 мест</t>
  </si>
  <si>
    <t>2.6</t>
  </si>
  <si>
    <t>Подготовка многоквартирного дома к сезонной эксплуатации, проведение технических осмотров</t>
  </si>
  <si>
    <t>2.6.14</t>
  </si>
  <si>
    <t>Проведение технических осмотров и устранение незначительных неисправностей в  системе   теплоснабжения</t>
  </si>
  <si>
    <t>2.6.14.3</t>
  </si>
  <si>
    <t>Гидравлическое испытание трубопроводов систем центрального отопления (расконсервация)</t>
  </si>
  <si>
    <t>2.6.14.3.2</t>
  </si>
  <si>
    <t>Рабочая проверка системы в целом при диаметре трубопровода до 50 мм</t>
  </si>
  <si>
    <t>100 м трубопровода</t>
  </si>
  <si>
    <t>2.6.14.3.3</t>
  </si>
  <si>
    <t>Окончательная проверка при сдаче системы при диаметре трубопровода до 50 мм</t>
  </si>
  <si>
    <t>2.6.14.4</t>
  </si>
  <si>
    <t>Промывка трубопроводов системы центрального отопления</t>
  </si>
  <si>
    <t>2.6.14.4.1</t>
  </si>
  <si>
    <t>Промывка трубопроводов системы центрального отопления до 50 мм</t>
  </si>
  <si>
    <t>10 м трубопровода (100 м3 здания)</t>
  </si>
  <si>
    <t>ИТОГО:</t>
  </si>
</sst>
</file>

<file path=xl/styles.xml><?xml version="1.0" encoding="utf-8"?>
<styleSheet xmlns="http://schemas.openxmlformats.org/spreadsheetml/2006/main">
  <numFmts count="1">
    <numFmt numFmtId="164" formatCode="#\ ###\ ##0.00"/>
  </numFmts>
  <fonts count="11">
    <font>
      <sz val="11"/>
      <color theme="1"/>
      <name val="Calibri"/>
      <family val="2"/>
      <scheme val="minor"/>
    </font>
    <font>
      <sz val="9"/>
      <name val="Calibri"/>
      <family val="2"/>
      <charset val="204"/>
    </font>
    <font>
      <sz val="10"/>
      <name val="Calibri"/>
      <family val="2"/>
      <charset val="204"/>
    </font>
    <font>
      <sz val="12"/>
      <name val="Calibri"/>
      <family val="2"/>
      <charset val="204"/>
    </font>
    <font>
      <b/>
      <sz val="9"/>
      <color rgb="FFFFFFFF"/>
      <name val="Calibri"/>
      <family val="2"/>
      <charset val="204"/>
    </font>
    <font>
      <b/>
      <sz val="18"/>
      <color rgb="FF000099"/>
      <name val="Calibri"/>
      <family val="2"/>
      <charset val="204"/>
    </font>
    <font>
      <i/>
      <sz val="11"/>
      <name val="Calibri"/>
      <family val="2"/>
      <charset val="204"/>
    </font>
    <font>
      <b/>
      <sz val="11"/>
      <name val="Calibri"/>
      <family val="2"/>
      <charset val="204"/>
    </font>
    <font>
      <b/>
      <sz val="10"/>
      <color rgb="FF707070"/>
      <name val="Calibri"/>
      <family val="2"/>
      <charset val="204"/>
    </font>
    <font>
      <b/>
      <sz val="11"/>
      <color rgb="FFFFFFFF"/>
      <name val="Calibri"/>
      <family val="2"/>
      <charset val="204"/>
    </font>
    <font>
      <b/>
      <sz val="10"/>
      <color rgb="FFFFFFFF"/>
      <name val="Calibri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rgb="FF546E7A"/>
      </patternFill>
    </fill>
    <fill>
      <patternFill patternType="solid">
        <fgColor rgb="FFDCE6F1"/>
      </patternFill>
    </fill>
    <fill>
      <patternFill patternType="solid">
        <fgColor rgb="FFF2F2F2"/>
      </patternFill>
    </fill>
    <fill>
      <patternFill patternType="solid">
        <fgColor rgb="FFF9F7ED"/>
      </patternFill>
    </fill>
    <fill>
      <patternFill patternType="solid">
        <fgColor rgb="FFF5F2E0"/>
      </patternFill>
    </fill>
    <fill>
      <patternFill patternType="solid">
        <fgColor rgb="FFEBF1DE"/>
      </patternFill>
    </fill>
  </fills>
  <borders count="12">
    <border>
      <left/>
      <right/>
      <top/>
      <bottom/>
      <diagonal/>
    </border>
    <border>
      <left style="thick">
        <color rgb="FF000000"/>
      </left>
      <right style="thin">
        <color rgb="FFFFFFFF"/>
      </right>
      <top style="thick">
        <color rgb="FF000000"/>
      </top>
      <bottom style="thick">
        <color rgb="FF000000"/>
      </bottom>
      <diagonal/>
    </border>
    <border>
      <left style="thin">
        <color rgb="FFFFFFFF"/>
      </left>
      <right style="thin">
        <color rgb="FFFFFFFF"/>
      </right>
      <top style="thick">
        <color rgb="FF000000"/>
      </top>
      <bottom style="thick">
        <color rgb="FF000000"/>
      </bottom>
      <diagonal/>
    </border>
    <border>
      <left style="thin">
        <color rgb="FFFFFFFF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/>
      <top style="thick">
        <color rgb="FF000000"/>
      </top>
      <bottom style="thick">
        <color rgb="FF000000"/>
      </bottom>
      <diagonal/>
    </border>
    <border>
      <left/>
      <right/>
      <top style="thick">
        <color rgb="FF000000"/>
      </top>
      <bottom/>
      <diagonal/>
    </border>
    <border>
      <left/>
      <right style="thick">
        <color rgb="FF000000"/>
      </right>
      <top style="thick">
        <color rgb="FF000000"/>
      </top>
      <bottom/>
      <diagonal/>
    </border>
    <border>
      <left/>
      <right/>
      <top/>
      <bottom style="thick">
        <color rgb="FF000000"/>
      </bottom>
      <diagonal/>
    </border>
    <border>
      <left/>
      <right style="thick">
        <color rgb="FF000000"/>
      </right>
      <top/>
      <bottom style="thick">
        <color rgb="FF000000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0" xfId="0" applyFont="1" applyAlignment="1">
      <alignment horizontal="center" vertical="top" wrapText="1" indent="1"/>
    </xf>
    <xf numFmtId="49" fontId="2" fillId="0" borderId="0" xfId="0" applyNumberFormat="1" applyFont="1" applyAlignment="1">
      <alignment horizontal="left" vertical="top" wrapText="1" indent="1"/>
    </xf>
    <xf numFmtId="0" fontId="2" fillId="0" borderId="0" xfId="0" applyFont="1" applyAlignment="1">
      <alignment horizontal="left" vertical="top" wrapText="1"/>
    </xf>
    <xf numFmtId="0" fontId="3" fillId="0" borderId="0" xfId="0" applyFont="1" applyAlignment="1">
      <alignment horizontal="right" vertical="top" indent="1"/>
    </xf>
    <xf numFmtId="164" fontId="2" fillId="0" borderId="0" xfId="0" applyNumberFormat="1" applyFont="1" applyAlignment="1">
      <alignment horizontal="right" vertical="top" indent="1"/>
    </xf>
    <xf numFmtId="0" fontId="4" fillId="0" borderId="0" xfId="0" applyFont="1" applyAlignment="1">
      <alignment horizontal="center" vertical="center" wrapText="1" indent="1"/>
    </xf>
    <xf numFmtId="0" fontId="4" fillId="2" borderId="1" xfId="0" applyFont="1" applyFill="1" applyBorder="1" applyAlignment="1">
      <alignment horizontal="center" vertical="center" wrapText="1" indent="1"/>
    </xf>
    <xf numFmtId="49" fontId="4" fillId="2" borderId="2" xfId="0" applyNumberFormat="1" applyFont="1" applyFill="1" applyBorder="1" applyAlignment="1">
      <alignment horizontal="center" vertical="center" wrapText="1" indent="1"/>
    </xf>
    <xf numFmtId="0" fontId="4" fillId="2" borderId="2" xfId="0" applyFont="1" applyFill="1" applyBorder="1" applyAlignment="1">
      <alignment horizontal="center" vertical="center" wrapText="1" indent="1"/>
    </xf>
    <xf numFmtId="164" fontId="4" fillId="2" borderId="2" xfId="0" applyNumberFormat="1" applyFont="1" applyFill="1" applyBorder="1" applyAlignment="1">
      <alignment horizontal="center" vertical="center" wrapText="1" indent="1"/>
    </xf>
    <xf numFmtId="164" fontId="4" fillId="2" borderId="3" xfId="0" applyNumberFormat="1" applyFont="1" applyFill="1" applyBorder="1" applyAlignment="1">
      <alignment horizontal="center" vertical="center" wrapText="1" indent="1"/>
    </xf>
    <xf numFmtId="0" fontId="6" fillId="0" borderId="6" xfId="0" applyFont="1" applyBorder="1" applyAlignment="1">
      <alignment horizontal="left" indent="1"/>
    </xf>
    <xf numFmtId="164" fontId="6" fillId="0" borderId="8" xfId="0" applyNumberFormat="1" applyFont="1" applyBorder="1" applyAlignment="1">
      <alignment horizontal="left" indent="1"/>
    </xf>
    <xf numFmtId="0" fontId="7" fillId="0" borderId="0" xfId="0" applyFont="1"/>
    <xf numFmtId="0" fontId="7" fillId="3" borderId="9" xfId="0" applyFont="1" applyFill="1" applyBorder="1" applyAlignment="1">
      <alignment horizontal="center" vertical="top" wrapText="1" indent="1"/>
    </xf>
    <xf numFmtId="49" fontId="7" fillId="3" borderId="10" xfId="0" applyNumberFormat="1" applyFont="1" applyFill="1" applyBorder="1" applyAlignment="1">
      <alignment horizontal="left" vertical="top" wrapText="1" indent="1"/>
    </xf>
    <xf numFmtId="0" fontId="8" fillId="0" borderId="0" xfId="0" applyFont="1"/>
    <xf numFmtId="0" fontId="8" fillId="4" borderId="9" xfId="0" applyFont="1" applyFill="1" applyBorder="1" applyAlignment="1">
      <alignment horizontal="center" vertical="top" wrapText="1" indent="1"/>
    </xf>
    <xf numFmtId="49" fontId="8" fillId="4" borderId="10" xfId="0" applyNumberFormat="1" applyFont="1" applyFill="1" applyBorder="1" applyAlignment="1">
      <alignment horizontal="left" vertical="top" wrapText="1" indent="1"/>
    </xf>
    <xf numFmtId="0" fontId="1" fillId="0" borderId="9" xfId="0" applyFont="1" applyBorder="1" applyAlignment="1">
      <alignment horizontal="center" vertical="top" wrapText="1" indent="1"/>
    </xf>
    <xf numFmtId="49" fontId="2" fillId="0" borderId="10" xfId="0" applyNumberFormat="1" applyFont="1" applyBorder="1" applyAlignment="1">
      <alignment horizontal="left" vertical="top" wrapText="1" indent="1"/>
    </xf>
    <xf numFmtId="0" fontId="2" fillId="0" borderId="10" xfId="0" applyFont="1" applyBorder="1" applyAlignment="1">
      <alignment horizontal="left" vertical="top" wrapText="1"/>
    </xf>
    <xf numFmtId="0" fontId="3" fillId="5" borderId="10" xfId="0" applyFont="1" applyFill="1" applyBorder="1" applyAlignment="1">
      <alignment horizontal="right" vertical="top" indent="1"/>
    </xf>
    <xf numFmtId="0" fontId="3" fillId="6" borderId="10" xfId="0" applyFont="1" applyFill="1" applyBorder="1" applyAlignment="1">
      <alignment horizontal="right" vertical="top" indent="1"/>
    </xf>
    <xf numFmtId="164" fontId="2" fillId="0" borderId="10" xfId="0" applyNumberFormat="1" applyFont="1" applyBorder="1" applyAlignment="1">
      <alignment horizontal="right" vertical="top" indent="1"/>
    </xf>
    <xf numFmtId="164" fontId="2" fillId="7" borderId="11" xfId="0" applyNumberFormat="1" applyFont="1" applyFill="1" applyBorder="1" applyAlignment="1">
      <alignment horizontal="right" vertical="top" indent="1"/>
    </xf>
    <xf numFmtId="0" fontId="9" fillId="0" borderId="0" xfId="0" applyFont="1" applyAlignment="1">
      <alignment horizontal="right" vertical="center" wrapText="1" indent="1"/>
    </xf>
    <xf numFmtId="164" fontId="9" fillId="2" borderId="2" xfId="0" applyNumberFormat="1" applyFont="1" applyFill="1" applyBorder="1" applyAlignment="1">
      <alignment horizontal="right" vertical="center" wrapText="1" indent="1"/>
    </xf>
    <xf numFmtId="164" fontId="9" fillId="2" borderId="3" xfId="0" applyNumberFormat="1" applyFont="1" applyFill="1" applyBorder="1" applyAlignment="1">
      <alignment horizontal="right" vertical="center" wrapText="1" indent="1"/>
    </xf>
    <xf numFmtId="0" fontId="5" fillId="0" borderId="4" xfId="0" applyFont="1" applyBorder="1" applyAlignment="1">
      <alignment horizontal="left" vertical="center" indent="1"/>
    </xf>
    <xf numFmtId="164" fontId="6" fillId="0" borderId="5" xfId="0" applyNumberFormat="1" applyFont="1" applyBorder="1" applyAlignment="1">
      <alignment horizontal="right" indent="1"/>
    </xf>
    <xf numFmtId="164" fontId="6" fillId="0" borderId="7" xfId="0" applyNumberFormat="1" applyFont="1" applyBorder="1" applyAlignment="1">
      <alignment horizontal="right" indent="1"/>
    </xf>
    <xf numFmtId="0" fontId="7" fillId="3" borderId="11" xfId="0" applyFont="1" applyFill="1" applyBorder="1" applyAlignment="1">
      <alignment horizontal="left" vertical="top" wrapText="1"/>
    </xf>
    <xf numFmtId="0" fontId="8" fillId="4" borderId="11" xfId="0" applyFont="1" applyFill="1" applyBorder="1" applyAlignment="1">
      <alignment indent="1"/>
    </xf>
    <xf numFmtId="0" fontId="8" fillId="4" borderId="11" xfId="0" applyFont="1" applyFill="1" applyBorder="1" applyAlignment="1">
      <alignment indent="2"/>
    </xf>
    <xf numFmtId="0" fontId="10" fillId="2" borderId="1" xfId="0" applyFont="1" applyFill="1" applyBorder="1" applyAlignment="1">
      <alignment horizontal="right" vertical="center" wrapText="1" inden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22"/>
  <sheetViews>
    <sheetView tabSelected="1" workbookViewId="0">
      <pane ySplit="1" topLeftCell="A2" activePane="bottomLeft" state="frozen"/>
      <selection pane="bottomLeft"/>
    </sheetView>
  </sheetViews>
  <sheetFormatPr defaultRowHeight="15.75"/>
  <cols>
    <col min="1" max="1" width="3" customWidth="1"/>
    <col min="2" max="2" width="6" style="1" customWidth="1"/>
    <col min="3" max="3" width="13" style="2" customWidth="1"/>
    <col min="4" max="4" width="50" style="3" customWidth="1"/>
    <col min="5" max="5" width="20" style="3" customWidth="1"/>
    <col min="6" max="7" width="12" style="4" customWidth="1"/>
    <col min="8" max="9" width="14" style="5" customWidth="1"/>
    <col min="10" max="10" width="13" style="5" customWidth="1"/>
    <col min="11" max="13" width="14" style="5" customWidth="1"/>
    <col min="14" max="14" width="16" style="5" customWidth="1"/>
  </cols>
  <sheetData>
    <row r="1" spans="1:14" s="6" customFormat="1" ht="39.950000000000003" customHeight="1">
      <c r="A1" s="6" t="s">
        <v>0</v>
      </c>
      <c r="B1" s="7" t="s">
        <v>1</v>
      </c>
      <c r="C1" s="8" t="s">
        <v>2</v>
      </c>
      <c r="D1" s="9" t="s">
        <v>3</v>
      </c>
      <c r="E1" s="9" t="s">
        <v>4</v>
      </c>
      <c r="F1" s="9" t="s">
        <v>5</v>
      </c>
      <c r="G1" s="9" t="s">
        <v>6</v>
      </c>
      <c r="H1" s="10" t="s">
        <v>7</v>
      </c>
      <c r="I1" s="10" t="s">
        <v>8</v>
      </c>
      <c r="J1" s="10" t="s">
        <v>9</v>
      </c>
      <c r="K1" s="10" t="s">
        <v>10</v>
      </c>
      <c r="L1" s="10" t="s">
        <v>11</v>
      </c>
      <c r="M1" s="10" t="s">
        <v>12</v>
      </c>
      <c r="N1" s="11" t="s">
        <v>13</v>
      </c>
    </row>
    <row r="2" spans="1:14" ht="15">
      <c r="A2" t="s">
        <v>0</v>
      </c>
      <c r="B2" s="30" t="s">
        <v>14</v>
      </c>
      <c r="C2" s="30"/>
      <c r="D2" s="30"/>
      <c r="E2" s="30"/>
      <c r="F2" s="30"/>
      <c r="G2" s="30"/>
      <c r="H2" s="30"/>
      <c r="I2" s="30"/>
      <c r="J2" s="30"/>
      <c r="K2" s="30"/>
      <c r="L2" s="31" t="s">
        <v>15</v>
      </c>
      <c r="M2" s="31"/>
      <c r="N2" s="12" t="s">
        <v>16</v>
      </c>
    </row>
    <row r="3" spans="1:14" ht="15">
      <c r="B3" s="30"/>
      <c r="C3" s="30"/>
      <c r="D3" s="30"/>
      <c r="E3" s="30"/>
      <c r="F3" s="30"/>
      <c r="G3" s="30"/>
      <c r="H3" s="30"/>
      <c r="I3" s="30"/>
      <c r="J3" s="30"/>
      <c r="K3" s="30"/>
      <c r="L3" s="32" t="s">
        <v>17</v>
      </c>
      <c r="M3" s="32"/>
      <c r="N3" s="13">
        <v>0</v>
      </c>
    </row>
    <row r="4" spans="1:14" s="14" customFormat="1" ht="15">
      <c r="B4" s="15"/>
      <c r="C4" s="16" t="s">
        <v>18</v>
      </c>
      <c r="D4" s="33" t="s">
        <v>19</v>
      </c>
      <c r="E4" s="33"/>
      <c r="F4" s="33"/>
      <c r="G4" s="33"/>
      <c r="H4" s="33"/>
      <c r="I4" s="33"/>
      <c r="J4" s="33"/>
      <c r="K4" s="33"/>
      <c r="L4" s="33"/>
      <c r="M4" s="33"/>
      <c r="N4" s="33"/>
    </row>
    <row r="5" spans="1:14" s="17" customFormat="1" ht="12.75">
      <c r="B5" s="18"/>
      <c r="C5" s="19" t="s">
        <v>20</v>
      </c>
      <c r="D5" s="34" t="s">
        <v>21</v>
      </c>
      <c r="E5" s="34"/>
      <c r="F5" s="34"/>
      <c r="G5" s="34"/>
      <c r="H5" s="34"/>
      <c r="I5" s="34"/>
      <c r="J5" s="34"/>
      <c r="K5" s="34"/>
      <c r="L5" s="34"/>
      <c r="M5" s="34"/>
      <c r="N5" s="34"/>
    </row>
    <row r="6" spans="1:14">
      <c r="B6" s="20">
        <v>1</v>
      </c>
      <c r="C6" s="21" t="s">
        <v>22</v>
      </c>
      <c r="D6" s="22" t="s">
        <v>23</v>
      </c>
      <c r="E6" s="22" t="s">
        <v>24</v>
      </c>
      <c r="F6" s="23">
        <v>0.01</v>
      </c>
      <c r="G6" s="24">
        <v>1</v>
      </c>
      <c r="H6" s="25">
        <f>F6 * G6 * 25839.6192</f>
        <v>258.39619200000004</v>
      </c>
      <c r="I6" s="25">
        <f>F6 * G6 * 53244.206856</f>
        <v>532.44206855999994</v>
      </c>
      <c r="J6" s="25">
        <f>F6 * G6 * 0</f>
        <v>0</v>
      </c>
      <c r="K6" s="25">
        <f>F6 * G6 * 24599.3174779999</f>
        <v>245.99317477999898</v>
      </c>
      <c r="L6" s="25">
        <f>F6 * G6 * 11483.787608</f>
        <v>114.83787608</v>
      </c>
      <c r="M6" s="25">
        <f>F6 * G6 * 5167.92384</f>
        <v>51.679238400000003</v>
      </c>
      <c r="N6" s="26">
        <f>SUM(H6:M6)</f>
        <v>1203.3485498199989</v>
      </c>
    </row>
    <row r="7" spans="1:14" s="14" customFormat="1" ht="15">
      <c r="B7" s="15"/>
      <c r="C7" s="16" t="s">
        <v>25</v>
      </c>
      <c r="D7" s="33" t="s">
        <v>26</v>
      </c>
      <c r="E7" s="33"/>
      <c r="F7" s="33"/>
      <c r="G7" s="33"/>
      <c r="H7" s="33"/>
      <c r="I7" s="33"/>
      <c r="J7" s="33"/>
      <c r="K7" s="33"/>
      <c r="L7" s="33"/>
      <c r="M7" s="33"/>
      <c r="N7" s="33"/>
    </row>
    <row r="8" spans="1:14" s="17" customFormat="1" ht="12.75">
      <c r="B8" s="18"/>
      <c r="C8" s="19" t="s">
        <v>27</v>
      </c>
      <c r="D8" s="34" t="s">
        <v>28</v>
      </c>
      <c r="E8" s="34"/>
      <c r="F8" s="34"/>
      <c r="G8" s="34"/>
      <c r="H8" s="34"/>
      <c r="I8" s="34"/>
      <c r="J8" s="34"/>
      <c r="K8" s="34"/>
      <c r="L8" s="34"/>
      <c r="M8" s="34"/>
      <c r="N8" s="34"/>
    </row>
    <row r="9" spans="1:14" s="17" customFormat="1" ht="12.75">
      <c r="B9" s="18"/>
      <c r="C9" s="19" t="s">
        <v>29</v>
      </c>
      <c r="D9" s="35" t="s">
        <v>30</v>
      </c>
      <c r="E9" s="35"/>
      <c r="F9" s="35"/>
      <c r="G9" s="35"/>
      <c r="H9" s="35"/>
      <c r="I9" s="35"/>
      <c r="J9" s="35"/>
      <c r="K9" s="35"/>
      <c r="L9" s="35"/>
      <c r="M9" s="35"/>
      <c r="N9" s="35"/>
    </row>
    <row r="10" spans="1:14" ht="25.5">
      <c r="B10" s="20">
        <v>2</v>
      </c>
      <c r="C10" s="21" t="s">
        <v>31</v>
      </c>
      <c r="D10" s="22" t="s">
        <v>32</v>
      </c>
      <c r="E10" s="22" t="s">
        <v>33</v>
      </c>
      <c r="F10" s="23">
        <v>2</v>
      </c>
      <c r="G10" s="24">
        <v>1</v>
      </c>
      <c r="H10" s="25">
        <f>F10 * G10 * 103.72176</f>
        <v>207.44352000000001</v>
      </c>
      <c r="I10" s="25">
        <f>F10 * G10 * 1522.9416</f>
        <v>3045.8832000000002</v>
      </c>
      <c r="J10" s="25">
        <f>F10 * G10 * 0</f>
        <v>0</v>
      </c>
      <c r="K10" s="25">
        <f>F10 * G10 * 98.743116</f>
        <v>197.486232</v>
      </c>
      <c r="L10" s="25">
        <f>F10 * G10 * 184.218912</f>
        <v>368.43782399999998</v>
      </c>
      <c r="M10" s="25">
        <f>F10 * G10 * 20.744352</f>
        <v>41.488703999999998</v>
      </c>
      <c r="N10" s="26">
        <f>SUM(H10:M10)</f>
        <v>3860.7394800000002</v>
      </c>
    </row>
    <row r="11" spans="1:14" s="14" customFormat="1" ht="15">
      <c r="B11" s="15"/>
      <c r="C11" s="16" t="s">
        <v>34</v>
      </c>
      <c r="D11" s="33" t="s">
        <v>35</v>
      </c>
      <c r="E11" s="33"/>
      <c r="F11" s="33"/>
      <c r="G11" s="33"/>
      <c r="H11" s="33"/>
      <c r="I11" s="33"/>
      <c r="J11" s="33"/>
      <c r="K11" s="33"/>
      <c r="L11" s="33"/>
      <c r="M11" s="33"/>
      <c r="N11" s="33"/>
    </row>
    <row r="12" spans="1:14" s="17" customFormat="1" ht="12.75">
      <c r="B12" s="18"/>
      <c r="C12" s="19" t="s">
        <v>36</v>
      </c>
      <c r="D12" s="34" t="s">
        <v>37</v>
      </c>
      <c r="E12" s="34"/>
      <c r="F12" s="34"/>
      <c r="G12" s="34"/>
      <c r="H12" s="34"/>
      <c r="I12" s="34"/>
      <c r="J12" s="34"/>
      <c r="K12" s="34"/>
      <c r="L12" s="34"/>
      <c r="M12" s="34"/>
      <c r="N12" s="34"/>
    </row>
    <row r="13" spans="1:14" s="17" customFormat="1" ht="12.75">
      <c r="B13" s="18"/>
      <c r="C13" s="19" t="s">
        <v>38</v>
      </c>
      <c r="D13" s="35" t="s">
        <v>39</v>
      </c>
      <c r="E13" s="35"/>
      <c r="F13" s="35"/>
      <c r="G13" s="35"/>
      <c r="H13" s="35"/>
      <c r="I13" s="35"/>
      <c r="J13" s="35"/>
      <c r="K13" s="35"/>
      <c r="L13" s="35"/>
      <c r="M13" s="35"/>
      <c r="N13" s="35"/>
    </row>
    <row r="14" spans="1:14" ht="38.25">
      <c r="B14" s="20">
        <v>3</v>
      </c>
      <c r="C14" s="21" t="s">
        <v>40</v>
      </c>
      <c r="D14" s="22" t="s">
        <v>41</v>
      </c>
      <c r="E14" s="22" t="s">
        <v>42</v>
      </c>
      <c r="F14" s="23">
        <v>0.02</v>
      </c>
      <c r="G14" s="24">
        <v>1</v>
      </c>
      <c r="H14" s="25">
        <f>F14 * G14 * 8951.928</f>
        <v>179.03855999999999</v>
      </c>
      <c r="I14" s="25">
        <f>F14 * G14 * 32848.688063</f>
        <v>656.97376126000006</v>
      </c>
      <c r="J14" s="25">
        <f>F14 * G14 * 0</f>
        <v>0</v>
      </c>
      <c r="K14" s="25">
        <f>F14 * G14 * 8522.235456</f>
        <v>170.44470912</v>
      </c>
      <c r="L14" s="25">
        <f>F14 * G14 * 5497.946516</f>
        <v>109.95893032000001</v>
      </c>
      <c r="M14" s="25">
        <f>F14 * G14 * 1790.3856</f>
        <v>35.807712000000002</v>
      </c>
      <c r="N14" s="26">
        <f>SUM(H14:M14)</f>
        <v>1152.2236727</v>
      </c>
    </row>
    <row r="15" spans="1:14" s="14" customFormat="1" ht="15">
      <c r="B15" s="15"/>
      <c r="C15" s="16" t="s">
        <v>43</v>
      </c>
      <c r="D15" s="33" t="s">
        <v>44</v>
      </c>
      <c r="E15" s="33"/>
      <c r="F15" s="33"/>
      <c r="G15" s="33"/>
      <c r="H15" s="33"/>
      <c r="I15" s="33"/>
      <c r="J15" s="33"/>
      <c r="K15" s="33"/>
      <c r="L15" s="33"/>
      <c r="M15" s="33"/>
      <c r="N15" s="33"/>
    </row>
    <row r="16" spans="1:14" s="17" customFormat="1" ht="12.75">
      <c r="B16" s="18"/>
      <c r="C16" s="19" t="s">
        <v>45</v>
      </c>
      <c r="D16" s="34" t="s">
        <v>46</v>
      </c>
      <c r="E16" s="34"/>
      <c r="F16" s="34"/>
      <c r="G16" s="34"/>
      <c r="H16" s="34"/>
      <c r="I16" s="34"/>
      <c r="J16" s="34"/>
      <c r="K16" s="34"/>
      <c r="L16" s="34"/>
      <c r="M16" s="34"/>
      <c r="N16" s="34"/>
    </row>
    <row r="17" spans="2:14" s="17" customFormat="1" ht="12.75">
      <c r="B17" s="18"/>
      <c r="C17" s="19" t="s">
        <v>47</v>
      </c>
      <c r="D17" s="35" t="s">
        <v>48</v>
      </c>
      <c r="E17" s="35"/>
      <c r="F17" s="35"/>
      <c r="G17" s="35"/>
      <c r="H17" s="35"/>
      <c r="I17" s="35"/>
      <c r="J17" s="35"/>
      <c r="K17" s="35"/>
      <c r="L17" s="35"/>
      <c r="M17" s="35"/>
      <c r="N17" s="35"/>
    </row>
    <row r="18" spans="2:14" ht="25.5">
      <c r="B18" s="20">
        <v>4</v>
      </c>
      <c r="C18" s="21" t="s">
        <v>49</v>
      </c>
      <c r="D18" s="22" t="s">
        <v>50</v>
      </c>
      <c r="E18" s="22" t="s">
        <v>51</v>
      </c>
      <c r="F18" s="23">
        <v>11.52</v>
      </c>
      <c r="G18" s="24">
        <v>1</v>
      </c>
      <c r="H18" s="25">
        <f>F18 * G18 * 950.793</f>
        <v>10953.13536</v>
      </c>
      <c r="I18" s="25">
        <f>F18 * G18 * 7.170829</f>
        <v>82.607950079999995</v>
      </c>
      <c r="J18" s="25">
        <f>F18 * G18 * 0</f>
        <v>0</v>
      </c>
      <c r="K18" s="25">
        <f>F18 * G18 * 905.154935999999</f>
        <v>10427.384862719988</v>
      </c>
      <c r="L18" s="25">
        <f>F18 * G18 * 216.620762</f>
        <v>2495.47117824</v>
      </c>
      <c r="M18" s="25">
        <f>F18 * G18 * 190.1586</f>
        <v>2190.6270720000002</v>
      </c>
      <c r="N18" s="26">
        <f>SUM(H18:M18)</f>
        <v>26149.226423039989</v>
      </c>
    </row>
    <row r="19" spans="2:14" ht="25.5">
      <c r="B19" s="20">
        <v>5</v>
      </c>
      <c r="C19" s="21" t="s">
        <v>52</v>
      </c>
      <c r="D19" s="22" t="s">
        <v>53</v>
      </c>
      <c r="E19" s="22" t="s">
        <v>51</v>
      </c>
      <c r="F19" s="23">
        <v>11.52</v>
      </c>
      <c r="G19" s="24">
        <v>1</v>
      </c>
      <c r="H19" s="25">
        <f>F19 * G19 * 400.009997</f>
        <v>4608.1151654400001</v>
      </c>
      <c r="I19" s="25">
        <f>F19 * G19 * 0</f>
        <v>0</v>
      </c>
      <c r="J19" s="25">
        <f>F19 * G19 * 68.046825</f>
        <v>783.89942399999995</v>
      </c>
      <c r="K19" s="25">
        <f>F19 * G19 * 380.809517</f>
        <v>4386.9256358399998</v>
      </c>
      <c r="L19" s="25">
        <f>F19 * G19 * 97.99561</f>
        <v>1128.9094272</v>
      </c>
      <c r="M19" s="25">
        <f>F19 * G19 * 80.001999</f>
        <v>921.6230284799999</v>
      </c>
      <c r="N19" s="26">
        <f>SUM(H19:M19)</f>
        <v>11829.47268096</v>
      </c>
    </row>
    <row r="20" spans="2:14" s="17" customFormat="1" ht="12.75">
      <c r="B20" s="18"/>
      <c r="C20" s="19" t="s">
        <v>54</v>
      </c>
      <c r="D20" s="35" t="s">
        <v>55</v>
      </c>
      <c r="E20" s="35"/>
      <c r="F20" s="35"/>
      <c r="G20" s="35"/>
      <c r="H20" s="35"/>
      <c r="I20" s="35"/>
      <c r="J20" s="35"/>
      <c r="K20" s="35"/>
      <c r="L20" s="35"/>
      <c r="M20" s="35"/>
      <c r="N20" s="35"/>
    </row>
    <row r="21" spans="2:14" ht="25.5">
      <c r="B21" s="20">
        <v>6</v>
      </c>
      <c r="C21" s="21" t="s">
        <v>56</v>
      </c>
      <c r="D21" s="22" t="s">
        <v>57</v>
      </c>
      <c r="E21" s="22" t="s">
        <v>58</v>
      </c>
      <c r="F21" s="23">
        <v>15.22</v>
      </c>
      <c r="G21" s="24">
        <v>1</v>
      </c>
      <c r="H21" s="25">
        <f>F21 * G21 * 223.97976</f>
        <v>3408.9719472000002</v>
      </c>
      <c r="I21" s="25">
        <f>F21 * G21 * 0</f>
        <v>0</v>
      </c>
      <c r="J21" s="25">
        <f>F21 * G21 * 0</f>
        <v>0</v>
      </c>
      <c r="K21" s="25">
        <f>F21 * G21 * 213.228732</f>
        <v>3245.3413010400004</v>
      </c>
      <c r="L21" s="25">
        <f>F21 * G21 * 50.8514689999999</f>
        <v>773.9593581799985</v>
      </c>
      <c r="M21" s="25">
        <f>F21 * G21 * 44.795952</f>
        <v>681.79438944000003</v>
      </c>
      <c r="N21" s="26">
        <f>SUM(H21:M21)</f>
        <v>8110.0669958599992</v>
      </c>
    </row>
    <row r="22" spans="2:14" s="27" customFormat="1" ht="20.100000000000001" customHeight="1">
      <c r="B22" s="36" t="s">
        <v>59</v>
      </c>
      <c r="C22" s="36"/>
      <c r="D22" s="36"/>
      <c r="E22" s="36"/>
      <c r="F22" s="36"/>
      <c r="G22" s="36"/>
      <c r="H22" s="28">
        <f t="shared" ref="H22:N22" si="0">SUM(H4:H21)</f>
        <v>19615.10074464</v>
      </c>
      <c r="I22" s="28">
        <f t="shared" si="0"/>
        <v>4317.9069798999999</v>
      </c>
      <c r="J22" s="28">
        <f t="shared" si="0"/>
        <v>783.89942399999995</v>
      </c>
      <c r="K22" s="28">
        <f t="shared" si="0"/>
        <v>18673.575915499987</v>
      </c>
      <c r="L22" s="28">
        <f t="shared" si="0"/>
        <v>4991.5745940199986</v>
      </c>
      <c r="M22" s="28">
        <f t="shared" si="0"/>
        <v>3923.0201443200003</v>
      </c>
      <c r="N22" s="29">
        <f t="shared" si="0"/>
        <v>52305.077802379987</v>
      </c>
    </row>
  </sheetData>
  <mergeCells count="16">
    <mergeCell ref="B22:G22"/>
    <mergeCell ref="D13:N13"/>
    <mergeCell ref="D15:N15"/>
    <mergeCell ref="D16:N16"/>
    <mergeCell ref="D17:N17"/>
    <mergeCell ref="D20:N20"/>
    <mergeCell ref="D7:N7"/>
    <mergeCell ref="D8:N8"/>
    <mergeCell ref="D9:N9"/>
    <mergeCell ref="D11:N11"/>
    <mergeCell ref="D12:N12"/>
    <mergeCell ref="B2:K3"/>
    <mergeCell ref="L2:M2"/>
    <mergeCell ref="L3:M3"/>
    <mergeCell ref="D4:N4"/>
    <mergeCell ref="D5:N5"/>
  </mergeCells>
  <pageMargins left="0.7" right="0.7" top="0.75" bottom="0.75" header="0.3" footer="0.3"/>
  <pageSetup paperSize="9" fitToHeight="0" orientation="landscape" horizontalDpi="4294967295" verticalDpi="4294967295"/>
  <headerFooter>
    <oddHeader>&amp;C&amp;KCCCCCC&amp;"Arial"Белкина 25</oddHeader>
    <oddFooter>Стр.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Смета</vt:lpstr>
      <vt:lpstr>Смета!Заголовки_для_печати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Белкина 25</dc:title>
  <dc:creator/>
  <cp:lastModifiedBy/>
  <cp:lastPrinted>2022-03-21T13:55:21Z</cp:lastPrinted>
  <dcterms:created xsi:type="dcterms:W3CDTF">2022-03-21T13:55:21Z</dcterms:created>
  <dcterms:modified xsi:type="dcterms:W3CDTF">2022-03-21T13:56:01Z</dcterms:modified>
</cp:coreProperties>
</file>