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810" windowWidth="19575" windowHeight="7080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56" i="1"/>
  <c r="L56"/>
  <c r="K56"/>
  <c r="J56"/>
  <c r="N56" s="1"/>
  <c r="I56"/>
  <c r="H56"/>
  <c r="M53"/>
  <c r="L53"/>
  <c r="K53"/>
  <c r="J53"/>
  <c r="I53"/>
  <c r="H53"/>
  <c r="N53" s="1"/>
  <c r="M51"/>
  <c r="L51"/>
  <c r="K51"/>
  <c r="J51"/>
  <c r="I51"/>
  <c r="H51"/>
  <c r="N51" s="1"/>
  <c r="M50"/>
  <c r="L50"/>
  <c r="K50"/>
  <c r="J50"/>
  <c r="N50" s="1"/>
  <c r="I50"/>
  <c r="H50"/>
  <c r="N46"/>
  <c r="M46"/>
  <c r="L46"/>
  <c r="K46"/>
  <c r="J46"/>
  <c r="I46"/>
  <c r="H46"/>
  <c r="M43"/>
  <c r="L43"/>
  <c r="K43"/>
  <c r="J43"/>
  <c r="I43"/>
  <c r="H43"/>
  <c r="N43" s="1"/>
  <c r="M41"/>
  <c r="L41"/>
  <c r="K41"/>
  <c r="J41"/>
  <c r="I41"/>
  <c r="H41"/>
  <c r="N41" s="1"/>
  <c r="M39"/>
  <c r="L39"/>
  <c r="K39"/>
  <c r="J39"/>
  <c r="N39" s="1"/>
  <c r="I39"/>
  <c r="H39"/>
  <c r="M37"/>
  <c r="L37"/>
  <c r="K37"/>
  <c r="J37"/>
  <c r="N37" s="1"/>
  <c r="I37"/>
  <c r="H37"/>
  <c r="M35"/>
  <c r="L35"/>
  <c r="K35"/>
  <c r="J35"/>
  <c r="I35"/>
  <c r="H35"/>
  <c r="N35" s="1"/>
  <c r="M31"/>
  <c r="L31"/>
  <c r="K31"/>
  <c r="J31"/>
  <c r="I31"/>
  <c r="H31"/>
  <c r="N31" s="1"/>
  <c r="M30"/>
  <c r="L30"/>
  <c r="K30"/>
  <c r="J30"/>
  <c r="N30" s="1"/>
  <c r="I30"/>
  <c r="H30"/>
  <c r="M26"/>
  <c r="L26"/>
  <c r="K26"/>
  <c r="J26"/>
  <c r="N26" s="1"/>
  <c r="I26"/>
  <c r="H26"/>
  <c r="M23"/>
  <c r="L23"/>
  <c r="K23"/>
  <c r="J23"/>
  <c r="I23"/>
  <c r="H23"/>
  <c r="N23" s="1"/>
  <c r="M22"/>
  <c r="L22"/>
  <c r="K22"/>
  <c r="J22"/>
  <c r="I22"/>
  <c r="H22"/>
  <c r="N22" s="1"/>
  <c r="M19"/>
  <c r="L19"/>
  <c r="K19"/>
  <c r="J19"/>
  <c r="N19" s="1"/>
  <c r="I19"/>
  <c r="H19"/>
  <c r="N17"/>
  <c r="M17"/>
  <c r="L17"/>
  <c r="K17"/>
  <c r="J17"/>
  <c r="I17"/>
  <c r="H17"/>
  <c r="M14"/>
  <c r="L14"/>
  <c r="K14"/>
  <c r="J14"/>
  <c r="I14"/>
  <c r="H14"/>
  <c r="N14" s="1"/>
  <c r="M13"/>
  <c r="L13"/>
  <c r="K13"/>
  <c r="J13"/>
  <c r="I13"/>
  <c r="H13"/>
  <c r="N13" s="1"/>
  <c r="M12"/>
  <c r="L12"/>
  <c r="K12"/>
  <c r="K57" s="1"/>
  <c r="J12"/>
  <c r="N12" s="1"/>
  <c r="I12"/>
  <c r="H12"/>
  <c r="M10"/>
  <c r="L10"/>
  <c r="K10"/>
  <c r="J10"/>
  <c r="N10" s="1"/>
  <c r="I10"/>
  <c r="H10"/>
  <c r="M8"/>
  <c r="M57" s="1"/>
  <c r="L8"/>
  <c r="K8"/>
  <c r="J8"/>
  <c r="I8"/>
  <c r="I57" s="1"/>
  <c r="H8"/>
  <c r="N8" s="1"/>
  <c r="M7"/>
  <c r="L7"/>
  <c r="L57" s="1"/>
  <c r="K7"/>
  <c r="J7"/>
  <c r="I7"/>
  <c r="H7"/>
  <c r="H57" s="1"/>
  <c r="J57" l="1"/>
  <c r="N7"/>
  <c r="N57" s="1"/>
</calcChain>
</file>

<file path=xl/sharedStrings.xml><?xml version="1.0" encoding="utf-8"?>
<sst xmlns="http://schemas.openxmlformats.org/spreadsheetml/2006/main" count="149" uniqueCount="141">
  <si>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</si>
  <si>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</si>
  <si>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</si>
  <si>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</si>
  <si>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</si>
  <si>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</si>
  <si>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</si>
  <si>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</si>
  <si>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</si>
  <si>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</si>
  <si>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</si>
  <si>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</si>
  <si>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</si>
  <si>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</si>
  <si>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Болдина112а</t>
  </si>
  <si>
    <t>Дата изменения:</t>
  </si>
  <si>
    <t>21.03.2022</t>
  </si>
  <si>
    <t>Общая площадь, кв.м:</t>
  </si>
  <si>
    <t>1.2</t>
  </si>
  <si>
    <t>Кирпичные, каменные и железобетонные стены</t>
  </si>
  <si>
    <t>1.2.17</t>
  </si>
  <si>
    <t>Окраска стен  помещений  общего  пользования</t>
  </si>
  <si>
    <t>1.2.17.1</t>
  </si>
  <si>
    <t>Клеевая окраска стен</t>
  </si>
  <si>
    <t>1.2.17.1.1</t>
  </si>
  <si>
    <t>Простая клеевая окраска стен</t>
  </si>
  <si>
    <t>100 м2 окрашенной поверхности</t>
  </si>
  <si>
    <t>1.2.17.2</t>
  </si>
  <si>
    <t>Известковая окраска ранее окрашенных поверхностей стен</t>
  </si>
  <si>
    <t>1.2.17.3</t>
  </si>
  <si>
    <t>Масляная окраска ранее окрашенных поверхностей</t>
  </si>
  <si>
    <t>1.2.17.3.1</t>
  </si>
  <si>
    <t>Простая масляная окраска ранее окрашенных поверхностей</t>
  </si>
  <si>
    <t>1.2.18</t>
  </si>
  <si>
    <t>Внутренняя отделка зданий</t>
  </si>
  <si>
    <t>1.2.18.1</t>
  </si>
  <si>
    <t>Ремонт внутренней штукатурки потолков отдельными местами</t>
  </si>
  <si>
    <t>100 кв. м</t>
  </si>
  <si>
    <t>1.2.18.6</t>
  </si>
  <si>
    <t>Известковая окраска ранее окрашенных поверхностей потолков</t>
  </si>
  <si>
    <t>100 кв.м</t>
  </si>
  <si>
    <t>1.2.18.12</t>
  </si>
  <si>
    <t>Перетирка штукатурки поверхностей стен и перегородок</t>
  </si>
  <si>
    <t>100 м2 поверхности</t>
  </si>
  <si>
    <t>1.7</t>
  </si>
  <si>
    <t>Перегородки</t>
  </si>
  <si>
    <t>1.7.5</t>
  </si>
  <si>
    <t>Восстановление  облицовки  перегородок</t>
  </si>
  <si>
    <t>1.7.5.8</t>
  </si>
  <si>
    <t>Восстановление (ремонт) штукатурки кирпичных, железобетонных и гипсокартонных перегородок цементно-известковым раствором площадью отдельных мест до 10 кв.м.</t>
  </si>
  <si>
    <t>100 кв.м.</t>
  </si>
  <si>
    <t>1.7.6</t>
  </si>
  <si>
    <t>Окраска  перегородок</t>
  </si>
  <si>
    <t>1.7.6.3</t>
  </si>
  <si>
    <t>Простая масляная окраска перегородок с расчисткой старой краски 10-35  %</t>
  </si>
  <si>
    <t>1.9</t>
  </si>
  <si>
    <t>Оконные и дверные проемы</t>
  </si>
  <si>
    <t>1.9.1</t>
  </si>
  <si>
    <t>Восстановление (ремонт) дверей в помещениях  общего  пользования</t>
  </si>
  <si>
    <t>1.9.1.19</t>
  </si>
  <si>
    <t>Смена замков накладных</t>
  </si>
  <si>
    <t>100 замков</t>
  </si>
  <si>
    <t>1.9.1.22</t>
  </si>
  <si>
    <t>Простая масляная окраска дверей</t>
  </si>
  <si>
    <t>1.10</t>
  </si>
  <si>
    <t>Лестницы</t>
  </si>
  <si>
    <t>1.10.5</t>
  </si>
  <si>
    <t>Окраска  металлических  элементов  лестниц</t>
  </si>
  <si>
    <t>1.10.5.1</t>
  </si>
  <si>
    <t>Окраска масляными составами ранее окрашенных металлических решеток  без рельефа за 1 раз</t>
  </si>
  <si>
    <t xml:space="preserve"> 100 м2 окрашиваемой поверхности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</si>
  <si>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</si>
  <si>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</si>
  <si>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</si>
  <si>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</si>
  <si>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</si>
  <si>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</si>
  <si>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2.1.2.1.1</t>
  </si>
  <si>
    <t>Смена отдельных участков трубопроводов из стальных водогазопроводных неоцинкованных труб диаметром 15 мм</t>
  </si>
  <si>
    <t>100 м трубопровода</t>
  </si>
  <si>
    <t>2.1.2.1.2</t>
  </si>
  <si>
    <t>Смена отдельных участков трубопроводов из стальных водогазопроводных неоцинкованных труб диаметром 20 мм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</si>
  <si>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</si>
  <si>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</si>
  <si>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</si>
  <si>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</si>
  <si>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2.2.1.6</t>
  </si>
  <si>
    <t>Временная заделка свищей и трещин на внутренних трубопроводах и стояках</t>
  </si>
  <si>
    <t>2.2.1.6.1</t>
  </si>
  <si>
    <t>Временная заделка свищей и трещин на внутренних трубопроводах и стояках при диаметре трубопровода до 50 мм</t>
  </si>
  <si>
    <t>100 мест</t>
  </si>
  <si>
    <t>2.2.1.7</t>
  </si>
  <si>
    <t>Смена сгонов у трубопроводов</t>
  </si>
  <si>
    <t>2.2.1.7.1</t>
  </si>
  <si>
    <t>Смена сгонов у трубопроводов диаметром до 20 мм</t>
  </si>
  <si>
    <t>100 сгонов</t>
  </si>
  <si>
    <t>2.2.1.8</t>
  </si>
  <si>
    <t>Уплотнение сгонов</t>
  </si>
  <si>
    <t>2.2.1.8.1</t>
  </si>
  <si>
    <t>Уплотнение сгонов с применением льняной пряди или асбестового шнура (без разборки сгонов) диаметром до 20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</si>
  <si>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</si>
  <si>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</si>
  <si>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</si>
  <si>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</si>
  <si>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</si>
  <si>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100 шт.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</si>
  <si>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</si>
  <si>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</si>
  <si>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</si>
  <si>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</si>
  <si>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</si>
  <si>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2.5</t>
  </si>
  <si>
    <t>Внутридомовое электро-, радио- и телеоборудование</t>
  </si>
  <si>
    <t>2.5.7</t>
  </si>
  <si>
    <t>Ремонт,  замена  осветительных установок  помещений   общего  пользования</t>
  </si>
  <si>
    <t>2.5.7.10</t>
  </si>
  <si>
    <t>Замена лампы на светодиодную</t>
  </si>
  <si>
    <t>1 лампа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</si>
  <si>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</si>
  <si>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</si>
  <si>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</si>
  <si>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</si>
  <si>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</si>
  <si>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</si>
  <si>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</si>
  <si>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</si>
  <si>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</si>
  <si>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</si>
  <si>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</si>
  <si>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</si>
  <si>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</si>
  <si>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</si>
  <si>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</si>
  <si>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3.3</t>
  </si>
  <si>
    <t>Ремонт и установка объектов благоустройства придомовой территории</t>
  </si>
  <si>
    <t>3.3.1</t>
  </si>
  <si>
    <t>Ремонт  объектов  внешнего  благоустройства</t>
  </si>
  <si>
    <t>3.3.1.2</t>
  </si>
  <si>
    <t>Покраска ограждений газона</t>
  </si>
  <si>
    <t>пог.м.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</si>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</sst>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7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s="17" customFormat="1" ht="12.75">
      <c r="B6" s="18"/>
      <c r="C6" s="19" t="s">
        <v>22</v>
      </c>
      <c r="D6" s="35" t="s">
        <v>23</v>
      </c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25.5">
      <c r="B7" s="20">
        <v>1</v>
      </c>
      <c r="C7" s="21" t="s">
        <v>24</v>
      </c>
      <c r="D7" s="22" t="s">
        <v>25</v>
      </c>
      <c r="E7" s="22" t="s">
        <v>26</v>
      </c>
      <c r="F7" s="23">
        <v>1</v>
      </c>
      <c r="G7" s="24">
        <v>1</v>
      </c>
      <c r="H7" s="25">
        <f>F7 * G7 * 1380</f>
        <v>1380</v>
      </c>
      <c r="I7" s="25">
        <f>F7 * G7 * 448.663757</f>
        <v>448.66375699999998</v>
      </c>
      <c r="J7" s="25">
        <f>F7 * G7 * 0</f>
        <v>0</v>
      </c>
      <c r="K7" s="25">
        <f>F7 * G7 * 1313.76</f>
        <v>1313.76</v>
      </c>
      <c r="L7" s="25">
        <f>F7 * G7 * 360.643707</f>
        <v>360.64370700000001</v>
      </c>
      <c r="M7" s="25">
        <f>F7 * G7 * 276</f>
        <v>276</v>
      </c>
      <c r="N7" s="26">
        <f>SUM(H7:M7)</f>
        <v>3779.0674640000002</v>
      </c>
    </row>
    <row r="8" spans="1:14" ht="25.5">
      <c r="B8" s="20">
        <v>2</v>
      </c>
      <c r="C8" s="21" t="s">
        <v>27</v>
      </c>
      <c r="D8" s="22" t="s">
        <v>28</v>
      </c>
      <c r="E8" s="22" t="s">
        <v>26</v>
      </c>
      <c r="F8" s="23">
        <v>1</v>
      </c>
      <c r="G8" s="24">
        <v>1</v>
      </c>
      <c r="H8" s="25">
        <f>F8 * G8 * 1794</f>
        <v>1794</v>
      </c>
      <c r="I8" s="25">
        <f>F8 * G8 * 419.181225</f>
        <v>419.18122499999998</v>
      </c>
      <c r="J8" s="25">
        <f>F8 * G8 * 0</f>
        <v>0</v>
      </c>
      <c r="K8" s="25">
        <f>F8 * G8 * 1707.888</f>
        <v>1707.8879999999999</v>
      </c>
      <c r="L8" s="25">
        <f>F8 * G8 * 451.526202999999</f>
        <v>451.52620299999899</v>
      </c>
      <c r="M8" s="25">
        <f>F8 * G8 * 358.8</f>
        <v>358.8</v>
      </c>
      <c r="N8" s="26">
        <f>SUM(H8:M8)</f>
        <v>4731.3954279999989</v>
      </c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5.5">
      <c r="B10" s="20">
        <v>3</v>
      </c>
      <c r="C10" s="21" t="s">
        <v>31</v>
      </c>
      <c r="D10" s="22" t="s">
        <v>32</v>
      </c>
      <c r="E10" s="22" t="s">
        <v>26</v>
      </c>
      <c r="F10" s="23">
        <v>0.76</v>
      </c>
      <c r="G10" s="24">
        <v>1</v>
      </c>
      <c r="H10" s="25">
        <f>F10 * G10 * 6072</f>
        <v>4614.72</v>
      </c>
      <c r="I10" s="25">
        <f>F10 * G10 * 2240.512006</f>
        <v>1702.7891245599999</v>
      </c>
      <c r="J10" s="25">
        <f>F10 * G10 * 0</f>
        <v>0</v>
      </c>
      <c r="K10" s="25">
        <f>F10 * G10 * 5780.544</f>
        <v>4393.2134399999995</v>
      </c>
      <c r="L10" s="25">
        <f>F10 * G10 * 1614.936609</f>
        <v>1227.3518228400001</v>
      </c>
      <c r="M10" s="25">
        <f>F10 * G10 * 1214.4</f>
        <v>922.94400000000007</v>
      </c>
      <c r="N10" s="26">
        <f>SUM(H10:M10)</f>
        <v>12861.018387399999</v>
      </c>
    </row>
    <row r="11" spans="1:14" s="17" customFormat="1" ht="12.75">
      <c r="B11" s="18"/>
      <c r="C11" s="19" t="s">
        <v>33</v>
      </c>
      <c r="D11" s="34" t="s">
        <v>34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25.5">
      <c r="B12" s="20">
        <v>4</v>
      </c>
      <c r="C12" s="21" t="s">
        <v>35</v>
      </c>
      <c r="D12" s="22" t="s">
        <v>36</v>
      </c>
      <c r="E12" s="22" t="s">
        <v>37</v>
      </c>
      <c r="F12" s="23">
        <v>0.25</v>
      </c>
      <c r="G12" s="24">
        <v>1</v>
      </c>
      <c r="H12" s="25">
        <f>F12 * G12 * 49429.2</f>
        <v>12357.3</v>
      </c>
      <c r="I12" s="25">
        <f>F12 * G12 * 17366.40406</f>
        <v>4341.6010150000002</v>
      </c>
      <c r="J12" s="25">
        <f>F12 * G12 * 0</f>
        <v>0</v>
      </c>
      <c r="K12" s="25">
        <f>F12 * G12 * 47056.5984</f>
        <v>11764.149600000001</v>
      </c>
      <c r="L12" s="25">
        <f>F12 * G12 * 13054.363479</f>
        <v>3263.5908697499999</v>
      </c>
      <c r="M12" s="25">
        <f>F12 * G12 * 9885.84</f>
        <v>2471.46</v>
      </c>
      <c r="N12" s="26">
        <f>SUM(H12:M12)</f>
        <v>34198.101484749997</v>
      </c>
    </row>
    <row r="13" spans="1:14" ht="25.5">
      <c r="B13" s="20">
        <v>5</v>
      </c>
      <c r="C13" s="21" t="s">
        <v>38</v>
      </c>
      <c r="D13" s="22" t="s">
        <v>39</v>
      </c>
      <c r="E13" s="22" t="s">
        <v>40</v>
      </c>
      <c r="F13" s="23">
        <v>0.6</v>
      </c>
      <c r="G13" s="24">
        <v>1</v>
      </c>
      <c r="H13" s="25">
        <f>F13 * G13 * 2208</f>
        <v>1324.8</v>
      </c>
      <c r="I13" s="25">
        <f>F13 * G13 * 454.051749</f>
        <v>272.43104939999995</v>
      </c>
      <c r="J13" s="25">
        <f>F13 * G13 * 0</f>
        <v>0</v>
      </c>
      <c r="K13" s="25">
        <f>F13 * G13 * 2102.016</f>
        <v>1261.2095999999999</v>
      </c>
      <c r="L13" s="25">
        <f>F13 * G13 * 549.197948</f>
        <v>329.51876879999998</v>
      </c>
      <c r="M13" s="25">
        <f>F13 * G13 * 441.6</f>
        <v>264.95999999999998</v>
      </c>
      <c r="N13" s="26">
        <f>SUM(H13:M13)</f>
        <v>3452.9194181999997</v>
      </c>
    </row>
    <row r="14" spans="1:14">
      <c r="B14" s="20">
        <v>6</v>
      </c>
      <c r="C14" s="21" t="s">
        <v>41</v>
      </c>
      <c r="D14" s="22" t="s">
        <v>42</v>
      </c>
      <c r="E14" s="22" t="s">
        <v>43</v>
      </c>
      <c r="F14" s="23">
        <v>0.5</v>
      </c>
      <c r="G14" s="24">
        <v>1</v>
      </c>
      <c r="H14" s="25">
        <f>F14 * G14 * 4864.482</f>
        <v>2432.241</v>
      </c>
      <c r="I14" s="25">
        <f>F14 * G14 * 106.528474</f>
        <v>53.264237000000001</v>
      </c>
      <c r="J14" s="25">
        <f>F14 * G14 * 0</f>
        <v>0</v>
      </c>
      <c r="K14" s="25">
        <f>F14 * G14 * 4630.986864</f>
        <v>2315.4934320000002</v>
      </c>
      <c r="L14" s="25">
        <f>F14 * G14 * 1115.65129</f>
        <v>557.82564500000001</v>
      </c>
      <c r="M14" s="25">
        <f>F14 * G14 * 972.8964</f>
        <v>486.44819999999999</v>
      </c>
      <c r="N14" s="26">
        <f>SUM(H14:M14)</f>
        <v>5845.2725140000002</v>
      </c>
    </row>
    <row r="15" spans="1:14" s="14" customFormat="1" ht="15">
      <c r="B15" s="15"/>
      <c r="C15" s="16" t="s">
        <v>44</v>
      </c>
      <c r="D15" s="33" t="s">
        <v>45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1:14" s="17" customFormat="1" ht="12.75">
      <c r="B16" s="18"/>
      <c r="C16" s="19" t="s">
        <v>46</v>
      </c>
      <c r="D16" s="34" t="s">
        <v>47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2:14" ht="51">
      <c r="B17" s="20">
        <v>7</v>
      </c>
      <c r="C17" s="21" t="s">
        <v>48</v>
      </c>
      <c r="D17" s="22" t="s">
        <v>49</v>
      </c>
      <c r="E17" s="22" t="s">
        <v>50</v>
      </c>
      <c r="F17" s="23">
        <v>0.05</v>
      </c>
      <c r="G17" s="24">
        <v>1</v>
      </c>
      <c r="H17" s="25">
        <f>F17 * G17 * 39470.80944</f>
        <v>1973.5404719999999</v>
      </c>
      <c r="I17" s="25">
        <f>F17 * G17 * 6394.7268</f>
        <v>319.73634000000004</v>
      </c>
      <c r="J17" s="25">
        <f>F17 * G17 * 205.132158</f>
        <v>10.256607900000001</v>
      </c>
      <c r="K17" s="25">
        <f>F17 * G17 * 37743.023479</f>
        <v>1887.1511739500002</v>
      </c>
      <c r="L17" s="25">
        <f>F17 * G17 * 9678.87579</f>
        <v>483.94378950000004</v>
      </c>
      <c r="M17" s="25">
        <f>F17 * G17 * 7929.206613</f>
        <v>396.46033065000006</v>
      </c>
      <c r="N17" s="26">
        <f>SUM(H17:M17)</f>
        <v>5071.0887140000004</v>
      </c>
    </row>
    <row r="18" spans="2:14" s="17" customFormat="1" ht="12.75">
      <c r="B18" s="18"/>
      <c r="C18" s="19" t="s">
        <v>51</v>
      </c>
      <c r="D18" s="34" t="s">
        <v>52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2:14" ht="25.5">
      <c r="B19" s="20">
        <v>8</v>
      </c>
      <c r="C19" s="21" t="s">
        <v>53</v>
      </c>
      <c r="D19" s="22" t="s">
        <v>54</v>
      </c>
      <c r="E19" s="22" t="s">
        <v>50</v>
      </c>
      <c r="F19" s="23">
        <v>2.5</v>
      </c>
      <c r="G19" s="24">
        <v>1</v>
      </c>
      <c r="H19" s="25">
        <f>F19 * G19 * 4594.02</f>
        <v>11485.050000000001</v>
      </c>
      <c r="I19" s="25">
        <f>F19 * G19 * 2100.335666</f>
        <v>5250.8391649999994</v>
      </c>
      <c r="J19" s="25">
        <f>F19 * G19 * 0</f>
        <v>0</v>
      </c>
      <c r="K19" s="25">
        <f>F19 * G19 * 4373.50703999999</f>
        <v>10933.767599999976</v>
      </c>
      <c r="L19" s="25">
        <f>F19 * G19 * 1264.593338</f>
        <v>3161.4833449999996</v>
      </c>
      <c r="M19" s="25">
        <f>F19 * G19 * 918.804</f>
        <v>2297.0099999999998</v>
      </c>
      <c r="N19" s="26">
        <f>SUM(H19:M19)</f>
        <v>33128.15010999998</v>
      </c>
    </row>
    <row r="20" spans="2:14" s="14" customFormat="1" ht="15">
      <c r="B20" s="15"/>
      <c r="C20" s="16" t="s">
        <v>55</v>
      </c>
      <c r="D20" s="33" t="s">
        <v>56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1" spans="2:14" s="17" customFormat="1" ht="12.75">
      <c r="B21" s="18"/>
      <c r="C21" s="19" t="s">
        <v>57</v>
      </c>
      <c r="D21" s="34" t="s">
        <v>58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2:14">
      <c r="B22" s="20">
        <v>9</v>
      </c>
      <c r="C22" s="21" t="s">
        <v>59</v>
      </c>
      <c r="D22" s="22" t="s">
        <v>60</v>
      </c>
      <c r="E22" s="22" t="s">
        <v>61</v>
      </c>
      <c r="F22" s="23">
        <v>0.02</v>
      </c>
      <c r="G22" s="24">
        <v>1</v>
      </c>
      <c r="H22" s="25">
        <f>F22 * G22 * 25839.6192</f>
        <v>516.79238400000008</v>
      </c>
      <c r="I22" s="25">
        <f>F22 * G22 * 53244.206856</f>
        <v>1064.8841371199999</v>
      </c>
      <c r="J22" s="25">
        <f>F22 * G22 * 0</f>
        <v>0</v>
      </c>
      <c r="K22" s="25">
        <f>F22 * G22 * 24599.3174779999</f>
        <v>491.98634955999796</v>
      </c>
      <c r="L22" s="25">
        <f>F22 * G22 * 11483.787608</f>
        <v>229.67575216</v>
      </c>
      <c r="M22" s="25">
        <f>F22 * G22 * 5167.92384</f>
        <v>103.35847680000001</v>
      </c>
      <c r="N22" s="26">
        <f>SUM(H22:M22)</f>
        <v>2406.6970996399978</v>
      </c>
    </row>
    <row r="23" spans="2:14">
      <c r="B23" s="20">
        <v>10</v>
      </c>
      <c r="C23" s="21" t="s">
        <v>62</v>
      </c>
      <c r="D23" s="22" t="s">
        <v>63</v>
      </c>
      <c r="E23" s="22" t="s">
        <v>50</v>
      </c>
      <c r="F23" s="23">
        <v>0.06</v>
      </c>
      <c r="G23" s="24">
        <v>1</v>
      </c>
      <c r="H23" s="25">
        <f>F23 * G23 * 7314</f>
        <v>438.84</v>
      </c>
      <c r="I23" s="25">
        <f>F23 * G23 * 2986.115776</f>
        <v>179.16694655999999</v>
      </c>
      <c r="J23" s="25">
        <f>F23 * G23 * 0</f>
        <v>0</v>
      </c>
      <c r="K23" s="25">
        <f>F23 * G23 * 6962.928</f>
        <v>417.77567999999997</v>
      </c>
      <c r="L23" s="25">
        <f>F23 * G23 * 1975.57651799999</f>
        <v>118.5345910799994</v>
      </c>
      <c r="M23" s="25">
        <f>F23 * G23 * 1462.8</f>
        <v>87.768000000000001</v>
      </c>
      <c r="N23" s="26">
        <f>SUM(H23:M23)</f>
        <v>1242.0852176399994</v>
      </c>
    </row>
    <row r="24" spans="2:14" s="14" customFormat="1" ht="15">
      <c r="B24" s="15"/>
      <c r="C24" s="16" t="s">
        <v>64</v>
      </c>
      <c r="D24" s="33" t="s">
        <v>65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</row>
    <row r="25" spans="2:14" s="17" customFormat="1" ht="12.75">
      <c r="B25" s="18"/>
      <c r="C25" s="19" t="s">
        <v>66</v>
      </c>
      <c r="D25" s="34" t="s">
        <v>67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</row>
    <row r="26" spans="2:14" ht="38.25">
      <c r="B26" s="20">
        <v>11</v>
      </c>
      <c r="C26" s="21" t="s">
        <v>68</v>
      </c>
      <c r="D26" s="22" t="s">
        <v>69</v>
      </c>
      <c r="E26" s="22" t="s">
        <v>70</v>
      </c>
      <c r="F26" s="23">
        <v>0.3</v>
      </c>
      <c r="G26" s="24">
        <v>1</v>
      </c>
      <c r="H26" s="25">
        <f>F26 * G26 * 8659.5</f>
        <v>2597.85</v>
      </c>
      <c r="I26" s="25">
        <f>F26 * G26 * 1090.294211</f>
        <v>327.08826329999994</v>
      </c>
      <c r="J26" s="25">
        <f>F26 * G26 * 0</f>
        <v>0</v>
      </c>
      <c r="K26" s="25">
        <f>F26 * G26 * 8243.844</f>
        <v>2473.1531999999997</v>
      </c>
      <c r="L26" s="25">
        <f>F26 * G26 * 2081.044281</f>
        <v>624.31328429999996</v>
      </c>
      <c r="M26" s="25">
        <f>F26 * G26 * 1731.9</f>
        <v>519.57000000000005</v>
      </c>
      <c r="N26" s="26">
        <f>SUM(H26:M26)</f>
        <v>6541.9747475999993</v>
      </c>
    </row>
    <row r="27" spans="2:14" s="14" customFormat="1" ht="15">
      <c r="B27" s="15"/>
      <c r="C27" s="16" t="s">
        <v>71</v>
      </c>
      <c r="D27" s="33" t="s">
        <v>72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</row>
    <row r="28" spans="2:14" s="17" customFormat="1" ht="12.75">
      <c r="B28" s="18"/>
      <c r="C28" s="19" t="s">
        <v>73</v>
      </c>
      <c r="D28" s="34" t="s">
        <v>74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</row>
    <row r="29" spans="2:14" s="17" customFormat="1" ht="12.75">
      <c r="B29" s="18"/>
      <c r="C29" s="19" t="s">
        <v>75</v>
      </c>
      <c r="D29" s="35" t="s">
        <v>76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2:14" ht="38.25">
      <c r="B30" s="20">
        <v>12</v>
      </c>
      <c r="C30" s="21" t="s">
        <v>77</v>
      </c>
      <c r="D30" s="22" t="s">
        <v>78</v>
      </c>
      <c r="E30" s="22" t="s">
        <v>79</v>
      </c>
      <c r="F30" s="23">
        <v>0.01</v>
      </c>
      <c r="G30" s="24">
        <v>1</v>
      </c>
      <c r="H30" s="25">
        <f>F30 * G30 * 21019.178855</f>
        <v>210.19178854999998</v>
      </c>
      <c r="I30" s="25">
        <f>F30 * G30 * 9007.831335</f>
        <v>90.078313350000016</v>
      </c>
      <c r="J30" s="25">
        <f>F30 * G30 * 0</f>
        <v>0</v>
      </c>
      <c r="K30" s="25">
        <f>F30 * G30 * 20010.25827</f>
        <v>200.1025827</v>
      </c>
      <c r="L30" s="25">
        <f>F30 * G30 * 5722.436496</f>
        <v>57.224364960000003</v>
      </c>
      <c r="M30" s="25">
        <f>F30 * G30 * 4203.835771</f>
        <v>42.03835771</v>
      </c>
      <c r="N30" s="26">
        <f>SUM(H30:M30)</f>
        <v>599.63540726999997</v>
      </c>
    </row>
    <row r="31" spans="2:14" ht="38.25">
      <c r="B31" s="20">
        <v>13</v>
      </c>
      <c r="C31" s="21" t="s">
        <v>80</v>
      </c>
      <c r="D31" s="22" t="s">
        <v>81</v>
      </c>
      <c r="E31" s="22" t="s">
        <v>79</v>
      </c>
      <c r="F31" s="23">
        <v>0.02</v>
      </c>
      <c r="G31" s="24">
        <v>1</v>
      </c>
      <c r="H31" s="25">
        <f>F31 * G31 * 22070.1378</f>
        <v>441.40275600000001</v>
      </c>
      <c r="I31" s="25">
        <f>F31 * G31 * 10897.981095</f>
        <v>217.9596219</v>
      </c>
      <c r="J31" s="25">
        <f>F31 * G31 * 0</f>
        <v>0</v>
      </c>
      <c r="K31" s="25">
        <f>F31 * G31 * 21010.7711859999</f>
        <v>420.215423719998</v>
      </c>
      <c r="L31" s="25">
        <f>F31 * G31 * 6160.452811</f>
        <v>123.20905622000001</v>
      </c>
      <c r="M31" s="25">
        <f>F31 * G31 * 4414.02756</f>
        <v>88.280551200000005</v>
      </c>
      <c r="N31" s="26">
        <f>SUM(H31:M31)</f>
        <v>1291.067409039998</v>
      </c>
    </row>
    <row r="32" spans="2:14" s="14" customFormat="1" ht="15">
      <c r="B32" s="15"/>
      <c r="C32" s="16" t="s">
        <v>82</v>
      </c>
      <c r="D32" s="33" t="s">
        <v>83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</row>
    <row r="33" spans="2:14" s="17" customFormat="1" ht="12.75">
      <c r="B33" s="18"/>
      <c r="C33" s="19" t="s">
        <v>84</v>
      </c>
      <c r="D33" s="34" t="s">
        <v>85</v>
      </c>
      <c r="E33" s="34"/>
      <c r="F33" s="34"/>
      <c r="G33" s="34"/>
      <c r="H33" s="34"/>
      <c r="I33" s="34"/>
      <c r="J33" s="34"/>
      <c r="K33" s="34"/>
      <c r="L33" s="34"/>
      <c r="M33" s="34"/>
      <c r="N33" s="34"/>
    </row>
    <row r="34" spans="2:14" s="17" customFormat="1" ht="12.75">
      <c r="B34" s="18"/>
      <c r="C34" s="19" t="s">
        <v>86</v>
      </c>
      <c r="D34" s="35" t="s">
        <v>87</v>
      </c>
      <c r="E34" s="35"/>
      <c r="F34" s="35"/>
      <c r="G34" s="35"/>
      <c r="H34" s="35"/>
      <c r="I34" s="35"/>
      <c r="J34" s="35"/>
      <c r="K34" s="35"/>
      <c r="L34" s="35"/>
      <c r="M34" s="35"/>
      <c r="N34" s="35"/>
    </row>
    <row r="35" spans="2:14" ht="38.25">
      <c r="B35" s="20">
        <v>14</v>
      </c>
      <c r="C35" s="21" t="s">
        <v>88</v>
      </c>
      <c r="D35" s="22" t="s">
        <v>89</v>
      </c>
      <c r="E35" s="22" t="s">
        <v>90</v>
      </c>
      <c r="F35" s="23">
        <v>0.04</v>
      </c>
      <c r="G35" s="24">
        <v>1</v>
      </c>
      <c r="H35" s="25">
        <f>F35 * G35 * 8951.928</f>
        <v>358.07711999999998</v>
      </c>
      <c r="I35" s="25">
        <f>F35 * G35 * 32848.688063</f>
        <v>1313.9475225200001</v>
      </c>
      <c r="J35" s="25">
        <f>F35 * G35 * 0</f>
        <v>0</v>
      </c>
      <c r="K35" s="25">
        <f>F35 * G35 * 8522.235456</f>
        <v>340.88941824</v>
      </c>
      <c r="L35" s="25">
        <f>F35 * G35 * 5497.946516</f>
        <v>219.91786064000001</v>
      </c>
      <c r="M35" s="25">
        <f>F35 * G35 * 1790.3856</f>
        <v>71.615424000000004</v>
      </c>
      <c r="N35" s="26">
        <f>SUM(H35:M35)</f>
        <v>2304.4473453999999</v>
      </c>
    </row>
    <row r="36" spans="2:14" s="17" customFormat="1" ht="12.75">
      <c r="B36" s="18"/>
      <c r="C36" s="19" t="s">
        <v>91</v>
      </c>
      <c r="D36" s="35" t="s">
        <v>92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2:14">
      <c r="B37" s="20">
        <v>15</v>
      </c>
      <c r="C37" s="21" t="s">
        <v>93</v>
      </c>
      <c r="D37" s="22" t="s">
        <v>94</v>
      </c>
      <c r="E37" s="22" t="s">
        <v>95</v>
      </c>
      <c r="F37" s="23">
        <v>0.01</v>
      </c>
      <c r="G37" s="24">
        <v>1</v>
      </c>
      <c r="H37" s="25">
        <f>F37 * G37 * 7833.7224</f>
        <v>78.337223999999992</v>
      </c>
      <c r="I37" s="25">
        <f>F37 * G37 * 4906.963041</f>
        <v>49.069630410000002</v>
      </c>
      <c r="J37" s="25">
        <f>F37 * G37 * 0</f>
        <v>0</v>
      </c>
      <c r="K37" s="25">
        <f>F37 * G37 * 7457.703725</f>
        <v>74.577037250000004</v>
      </c>
      <c r="L37" s="25">
        <f>F37 * G37 * 2296.221599</f>
        <v>22.962215990000001</v>
      </c>
      <c r="M37" s="25">
        <f>F37 * G37 * 1566.74448</f>
        <v>15.6674448</v>
      </c>
      <c r="N37" s="26">
        <f>SUM(H37:M37)</f>
        <v>240.61355244999999</v>
      </c>
    </row>
    <row r="38" spans="2:14" s="17" customFormat="1" ht="12.75">
      <c r="B38" s="18"/>
      <c r="C38" s="19" t="s">
        <v>96</v>
      </c>
      <c r="D38" s="35" t="s">
        <v>97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2:14" ht="38.25">
      <c r="B39" s="20">
        <v>16</v>
      </c>
      <c r="C39" s="21" t="s">
        <v>98</v>
      </c>
      <c r="D39" s="22" t="s">
        <v>99</v>
      </c>
      <c r="E39" s="22" t="s">
        <v>100</v>
      </c>
      <c r="F39" s="23">
        <v>1</v>
      </c>
      <c r="G39" s="24">
        <v>1</v>
      </c>
      <c r="H39" s="25">
        <f>F39 * G39 * 31.45272</f>
        <v>31.452719999999999</v>
      </c>
      <c r="I39" s="25">
        <f>F39 * G39 * 3.168864</f>
        <v>3.1688640000000001</v>
      </c>
      <c r="J39" s="25">
        <f>F39 * G39 * 0</f>
        <v>0</v>
      </c>
      <c r="K39" s="25">
        <f>F39 * G39 * 29.942989</f>
        <v>29.942989000000001</v>
      </c>
      <c r="L39" s="25">
        <f>F39 * G39 * 7.47521499999999</f>
        <v>7.4752149999999897</v>
      </c>
      <c r="M39" s="25">
        <f>F39 * G39 * 6.290544</f>
        <v>6.2905439999999997</v>
      </c>
      <c r="N39" s="26">
        <f>SUM(H39:M39)</f>
        <v>78.330331999999984</v>
      </c>
    </row>
    <row r="40" spans="2:14" s="17" customFormat="1" ht="12.75">
      <c r="B40" s="18"/>
      <c r="C40" s="19" t="s">
        <v>101</v>
      </c>
      <c r="D40" s="34" t="s">
        <v>102</v>
      </c>
      <c r="E40" s="34"/>
      <c r="F40" s="34"/>
      <c r="G40" s="34"/>
      <c r="H40" s="34"/>
      <c r="I40" s="34"/>
      <c r="J40" s="34"/>
      <c r="K40" s="34"/>
      <c r="L40" s="34"/>
      <c r="M40" s="34"/>
      <c r="N40" s="34"/>
    </row>
    <row r="41" spans="2:14" ht="25.5">
      <c r="B41" s="20">
        <v>17</v>
      </c>
      <c r="C41" s="21" t="s">
        <v>103</v>
      </c>
      <c r="D41" s="22" t="s">
        <v>104</v>
      </c>
      <c r="E41" s="22" t="s">
        <v>105</v>
      </c>
      <c r="F41" s="23">
        <v>0.02</v>
      </c>
      <c r="G41" s="24">
        <v>1</v>
      </c>
      <c r="H41" s="25">
        <f>F41 * G41 * 20853.288</f>
        <v>417.06576000000001</v>
      </c>
      <c r="I41" s="25">
        <f>F41 * G41 * 14281.888527</f>
        <v>285.63777053999996</v>
      </c>
      <c r="J41" s="25">
        <f>F41 * G41 * 0</f>
        <v>0</v>
      </c>
      <c r="K41" s="25">
        <f>F41 * G41 * 19852.330176</f>
        <v>397.04660352000002</v>
      </c>
      <c r="L41" s="25">
        <f>F41 * G41 * 6241.186334</f>
        <v>124.82372668000001</v>
      </c>
      <c r="M41" s="25">
        <f>F41 * G41 * 4170.6576</f>
        <v>83.413151999999997</v>
      </c>
      <c r="N41" s="26">
        <f>SUM(H41:M41)</f>
        <v>1307.98701274</v>
      </c>
    </row>
    <row r="42" spans="2:14" s="14" customFormat="1" ht="15">
      <c r="B42" s="15"/>
      <c r="C42" s="16" t="s">
        <v>106</v>
      </c>
      <c r="D42" s="33" t="s">
        <v>107</v>
      </c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2:14" ht="25.5">
      <c r="B43" s="20">
        <v>18</v>
      </c>
      <c r="C43" s="21" t="s">
        <v>108</v>
      </c>
      <c r="D43" s="22" t="s">
        <v>109</v>
      </c>
      <c r="E43" s="22" t="s">
        <v>110</v>
      </c>
      <c r="F43" s="23">
        <v>1.1000000000000001</v>
      </c>
      <c r="G43" s="24">
        <v>1</v>
      </c>
      <c r="H43" s="25">
        <f>F43 * G43 * 2443.6344</f>
        <v>2687.99784</v>
      </c>
      <c r="I43" s="25">
        <f>F43 * G43 * 600.324723</f>
        <v>660.35719529999994</v>
      </c>
      <c r="J43" s="25">
        <f>F43 * G43 * 0</f>
        <v>0</v>
      </c>
      <c r="K43" s="25">
        <f>F43 * G43 * 2326.339949</f>
        <v>2558.9739439000004</v>
      </c>
      <c r="L43" s="25">
        <f>F43 * G43 * 618.127237999999</f>
        <v>679.93996179999897</v>
      </c>
      <c r="M43" s="25">
        <f>F43 * G43 * 488.72688</f>
        <v>537.59956800000009</v>
      </c>
      <c r="N43" s="26">
        <f>SUM(H43:M43)</f>
        <v>7124.8685089999999</v>
      </c>
    </row>
    <row r="44" spans="2:14" s="14" customFormat="1" ht="15">
      <c r="B44" s="15"/>
      <c r="C44" s="16" t="s">
        <v>111</v>
      </c>
      <c r="D44" s="33" t="s">
        <v>112</v>
      </c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2:14" s="17" customFormat="1" ht="12.75">
      <c r="B45" s="18"/>
      <c r="C45" s="19" t="s">
        <v>113</v>
      </c>
      <c r="D45" s="34" t="s">
        <v>114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</row>
    <row r="46" spans="2:14">
      <c r="B46" s="20">
        <v>19</v>
      </c>
      <c r="C46" s="21" t="s">
        <v>115</v>
      </c>
      <c r="D46" s="22" t="s">
        <v>116</v>
      </c>
      <c r="E46" s="22" t="s">
        <v>117</v>
      </c>
      <c r="F46" s="23">
        <v>10</v>
      </c>
      <c r="G46" s="24">
        <v>1</v>
      </c>
      <c r="H46" s="25">
        <f>F46 * G46 * 22.98468</f>
        <v>229.8468</v>
      </c>
      <c r="I46" s="25">
        <f>F46 * G46 * 54.672</f>
        <v>546.72</v>
      </c>
      <c r="J46" s="25">
        <f>F46 * G46 * 0</f>
        <v>0</v>
      </c>
      <c r="K46" s="25">
        <f>F46 * G46 * 21.881415</f>
        <v>218.81415000000001</v>
      </c>
      <c r="L46" s="25">
        <f>F46 * G46 * 10.986246</f>
        <v>109.86246</v>
      </c>
      <c r="M46" s="25">
        <f>F46 * G46 * 4.596936</f>
        <v>45.969360000000002</v>
      </c>
      <c r="N46" s="26">
        <f>SUM(H46:M46)</f>
        <v>1151.2127700000001</v>
      </c>
    </row>
    <row r="47" spans="2:14" s="14" customFormat="1" ht="15">
      <c r="B47" s="15"/>
      <c r="C47" s="16" t="s">
        <v>118</v>
      </c>
      <c r="D47" s="33" t="s">
        <v>119</v>
      </c>
      <c r="E47" s="33"/>
      <c r="F47" s="33"/>
      <c r="G47" s="33"/>
      <c r="H47" s="33"/>
      <c r="I47" s="33"/>
      <c r="J47" s="33"/>
      <c r="K47" s="33"/>
      <c r="L47" s="33"/>
      <c r="M47" s="33"/>
      <c r="N47" s="33"/>
    </row>
    <row r="48" spans="2:14" s="17" customFormat="1" ht="12.75">
      <c r="B48" s="18"/>
      <c r="C48" s="19" t="s">
        <v>120</v>
      </c>
      <c r="D48" s="34" t="s">
        <v>121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2:14" s="17" customFormat="1" ht="12.75">
      <c r="B49" s="18"/>
      <c r="C49" s="19" t="s">
        <v>122</v>
      </c>
      <c r="D49" s="35" t="s">
        <v>123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2:14" ht="25.5">
      <c r="B50" s="20">
        <v>20</v>
      </c>
      <c r="C50" s="21" t="s">
        <v>124</v>
      </c>
      <c r="D50" s="22" t="s">
        <v>125</v>
      </c>
      <c r="E50" s="22" t="s">
        <v>79</v>
      </c>
      <c r="F50" s="23">
        <v>14.4</v>
      </c>
      <c r="G50" s="24">
        <v>1</v>
      </c>
      <c r="H50" s="25">
        <f>F50 * G50 * 950.793</f>
        <v>13691.4192</v>
      </c>
      <c r="I50" s="25">
        <f>F50 * G50 * 7.170829</f>
        <v>103.2599376</v>
      </c>
      <c r="J50" s="25">
        <f>F50 * G50 * 0</f>
        <v>0</v>
      </c>
      <c r="K50" s="25">
        <f>F50 * G50 * 905.154935999999</f>
        <v>13034.231078399986</v>
      </c>
      <c r="L50" s="25">
        <f>F50 * G50 * 216.620762</f>
        <v>3119.3389728000002</v>
      </c>
      <c r="M50" s="25">
        <f>F50 * G50 * 190.1586</f>
        <v>2738.2838400000001</v>
      </c>
      <c r="N50" s="26">
        <f>SUM(H50:M50)</f>
        <v>32686.533028799986</v>
      </c>
    </row>
    <row r="51" spans="2:14" ht="25.5">
      <c r="B51" s="20">
        <v>21</v>
      </c>
      <c r="C51" s="21" t="s">
        <v>126</v>
      </c>
      <c r="D51" s="22" t="s">
        <v>127</v>
      </c>
      <c r="E51" s="22" t="s">
        <v>79</v>
      </c>
      <c r="F51" s="23">
        <v>14.4</v>
      </c>
      <c r="G51" s="24">
        <v>1</v>
      </c>
      <c r="H51" s="25">
        <f>F51 * G51 * 400.009997</f>
        <v>5760.1439568000005</v>
      </c>
      <c r="I51" s="25">
        <f>F51 * G51 * 0</f>
        <v>0</v>
      </c>
      <c r="J51" s="25">
        <f>F51 * G51 * 68.046825</f>
        <v>979.87428</v>
      </c>
      <c r="K51" s="25">
        <f>F51 * G51 * 380.809517</f>
        <v>5483.6570448000002</v>
      </c>
      <c r="L51" s="25">
        <f>F51 * G51 * 97.99561</f>
        <v>1411.136784</v>
      </c>
      <c r="M51" s="25">
        <f>F51 * G51 * 80.001999</f>
        <v>1152.0287856</v>
      </c>
      <c r="N51" s="26">
        <f>SUM(H51:M51)</f>
        <v>14786.840851200001</v>
      </c>
    </row>
    <row r="52" spans="2:14" s="17" customFormat="1" ht="12.75">
      <c r="B52" s="18"/>
      <c r="C52" s="19" t="s">
        <v>128</v>
      </c>
      <c r="D52" s="35" t="s">
        <v>129</v>
      </c>
      <c r="E52" s="35"/>
      <c r="F52" s="35"/>
      <c r="G52" s="35"/>
      <c r="H52" s="35"/>
      <c r="I52" s="35"/>
      <c r="J52" s="35"/>
      <c r="K52" s="35"/>
      <c r="L52" s="35"/>
      <c r="M52" s="35"/>
      <c r="N52" s="35"/>
    </row>
    <row r="53" spans="2:14" ht="25.5">
      <c r="B53" s="20">
        <v>22</v>
      </c>
      <c r="C53" s="21" t="s">
        <v>130</v>
      </c>
      <c r="D53" s="22" t="s">
        <v>131</v>
      </c>
      <c r="E53" s="22" t="s">
        <v>132</v>
      </c>
      <c r="F53" s="23">
        <v>43.2</v>
      </c>
      <c r="G53" s="24">
        <v>1</v>
      </c>
      <c r="H53" s="25">
        <f>F53 * G53 * 223.97976</f>
        <v>9675.9256320000004</v>
      </c>
      <c r="I53" s="25">
        <f>F53 * G53 * 0</f>
        <v>0</v>
      </c>
      <c r="J53" s="25">
        <f>F53 * G53 * 0</f>
        <v>0</v>
      </c>
      <c r="K53" s="25">
        <f>F53 * G53 * 213.228732</f>
        <v>9211.4812224000016</v>
      </c>
      <c r="L53" s="25">
        <f>F53 * G53 * 50.8514689999999</f>
        <v>2196.7834607999957</v>
      </c>
      <c r="M53" s="25">
        <f>F53 * G53 * 44.795952</f>
        <v>1935.1851264000002</v>
      </c>
      <c r="N53" s="26">
        <f>SUM(H53:M53)</f>
        <v>23019.375441600001</v>
      </c>
    </row>
    <row r="54" spans="2:14" s="14" customFormat="1" ht="15">
      <c r="B54" s="15"/>
      <c r="C54" s="16" t="s">
        <v>133</v>
      </c>
      <c r="D54" s="33" t="s">
        <v>134</v>
      </c>
      <c r="E54" s="33"/>
      <c r="F54" s="33"/>
      <c r="G54" s="33"/>
      <c r="H54" s="33"/>
      <c r="I54" s="33"/>
      <c r="J54" s="33"/>
      <c r="K54" s="33"/>
      <c r="L54" s="33"/>
      <c r="M54" s="33"/>
      <c r="N54" s="33"/>
    </row>
    <row r="55" spans="2:14" s="17" customFormat="1" ht="12.75">
      <c r="B55" s="18"/>
      <c r="C55" s="19" t="s">
        <v>135</v>
      </c>
      <c r="D55" s="34" t="s">
        <v>136</v>
      </c>
      <c r="E55" s="34"/>
      <c r="F55" s="34"/>
      <c r="G55" s="34"/>
      <c r="H55" s="34"/>
      <c r="I55" s="34"/>
      <c r="J55" s="34"/>
      <c r="K55" s="34"/>
      <c r="L55" s="34"/>
      <c r="M55" s="34"/>
      <c r="N55" s="34"/>
    </row>
    <row r="56" spans="2:14">
      <c r="B56" s="20">
        <v>23</v>
      </c>
      <c r="C56" s="21" t="s">
        <v>137</v>
      </c>
      <c r="D56" s="22" t="s">
        <v>138</v>
      </c>
      <c r="E56" s="22" t="s">
        <v>139</v>
      </c>
      <c r="F56" s="23">
        <v>70</v>
      </c>
      <c r="G56" s="24">
        <v>1</v>
      </c>
      <c r="H56" s="25">
        <f>F56 * G56 * 32.568</f>
        <v>2279.7599999999998</v>
      </c>
      <c r="I56" s="25">
        <f>F56 * G56 * 3.7673</f>
        <v>263.71100000000001</v>
      </c>
      <c r="J56" s="25">
        <f>F56 * G56 * 0</f>
        <v>0</v>
      </c>
      <c r="K56" s="25">
        <f>F56 * G56 * 31.004736</f>
        <v>2170.3315200000002</v>
      </c>
      <c r="L56" s="25">
        <f>F56 * G56 * 7.791558</f>
        <v>545.40906000000007</v>
      </c>
      <c r="M56" s="25">
        <f>F56 * G56 * 6.5136</f>
        <v>455.952</v>
      </c>
      <c r="N56" s="26">
        <f>SUM(H56:M56)</f>
        <v>5715.1635799999995</v>
      </c>
    </row>
    <row r="57" spans="2:14" s="27" customFormat="1" ht="20.100000000000001" customHeight="1">
      <c r="B57" s="36" t="s">
        <v>140</v>
      </c>
      <c r="C57" s="36"/>
      <c r="D57" s="36"/>
      <c r="E57" s="36"/>
      <c r="F57" s="36"/>
      <c r="G57" s="36"/>
      <c r="H57" s="28">
        <f t="shared" ref="H57:N57" si="0">SUM(H4:H56)</f>
        <v>76776.754653350014</v>
      </c>
      <c r="I57" s="28">
        <f t="shared" si="0"/>
        <v>17913.555115560001</v>
      </c>
      <c r="J57" s="28">
        <f t="shared" si="0"/>
        <v>990.13088789999995</v>
      </c>
      <c r="K57" s="28">
        <f t="shared" si="0"/>
        <v>73099.811089439972</v>
      </c>
      <c r="L57" s="28">
        <f t="shared" si="0"/>
        <v>19426.490917319996</v>
      </c>
      <c r="M57" s="28">
        <f t="shared" si="0"/>
        <v>15357.103161159994</v>
      </c>
      <c r="N57" s="29">
        <f t="shared" si="0"/>
        <v>203563.84582472994</v>
      </c>
    </row>
  </sheetData>
  <mergeCells count="34">
    <mergeCell ref="D52:N52"/>
    <mergeCell ref="D54:N54"/>
    <mergeCell ref="D55:N55"/>
    <mergeCell ref="B57:G57"/>
    <mergeCell ref="D44:N44"/>
    <mergeCell ref="D45:N45"/>
    <mergeCell ref="D47:N47"/>
    <mergeCell ref="D48:N48"/>
    <mergeCell ref="D49:N49"/>
    <mergeCell ref="D34:N34"/>
    <mergeCell ref="D36:N36"/>
    <mergeCell ref="D38:N38"/>
    <mergeCell ref="D40:N40"/>
    <mergeCell ref="D42:N42"/>
    <mergeCell ref="D27:N27"/>
    <mergeCell ref="D28:N28"/>
    <mergeCell ref="D29:N29"/>
    <mergeCell ref="D32:N32"/>
    <mergeCell ref="D33:N33"/>
    <mergeCell ref="D18:N18"/>
    <mergeCell ref="D20:N20"/>
    <mergeCell ref="D21:N21"/>
    <mergeCell ref="D24:N24"/>
    <mergeCell ref="D25:N25"/>
    <mergeCell ref="D6:N6"/>
    <mergeCell ref="D9:N9"/>
    <mergeCell ref="D11:N11"/>
    <mergeCell ref="D15:N15"/>
    <mergeCell ref="D16:N16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&amp;C&amp;KCCCCCC&amp;"Arial"Болдина112а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Болдина112а</dc:title>
  <dc:creator/>
  <cp:lastModifiedBy/>
  <cp:lastPrinted>2022-03-21T13:27:09Z</cp:lastPrinted>
  <dcterms:created xsi:type="dcterms:W3CDTF">2022-03-21T13:27:09Z</dcterms:created>
  <dcterms:modified xsi:type="dcterms:W3CDTF">2022-03-21T13:27:58Z</dcterms:modified>
</cp:coreProperties>
</file>