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/>
  <bookViews>
    <workbookView xWindow="360" yWindow="810" windowWidth="19575" windowHeight="7080"/>
  </bookViews>
  <sheets>
    <sheet name="Смета" sheetId="1" r:id="rId1"/>
  </sheets>
  <definedNames>
    <definedName name="_xlnm.Print_Titles" localSheetId="0">Смета!$1:$1</definedName>
  </definedNames>
  <calcPr calcId="124519"/>
</workbook>
</file>

<file path=xl/calcChain.xml><?xml version="1.0" encoding="utf-8"?>
<calcChain xmlns="http://schemas.openxmlformats.org/spreadsheetml/2006/main">
  <c r="M54" i="1"/>
  <c r="L54"/>
  <c r="K54"/>
  <c r="J54"/>
  <c r="I54"/>
  <c r="H54"/>
  <c r="N54" s="1"/>
  <c r="M51"/>
  <c r="L51"/>
  <c r="K51"/>
  <c r="J51"/>
  <c r="I51"/>
  <c r="H51"/>
  <c r="N51" s="1"/>
  <c r="M49"/>
  <c r="L49"/>
  <c r="K49"/>
  <c r="J49"/>
  <c r="I49"/>
  <c r="H49"/>
  <c r="N49" s="1"/>
  <c r="M48"/>
  <c r="L48"/>
  <c r="K48"/>
  <c r="J48"/>
  <c r="N48" s="1"/>
  <c r="I48"/>
  <c r="H48"/>
  <c r="M44"/>
  <c r="L44"/>
  <c r="K44"/>
  <c r="J44"/>
  <c r="I44"/>
  <c r="H44"/>
  <c r="N44" s="1"/>
  <c r="M41"/>
  <c r="L41"/>
  <c r="K41"/>
  <c r="J41"/>
  <c r="I41"/>
  <c r="H41"/>
  <c r="N41" s="1"/>
  <c r="M40"/>
  <c r="L40"/>
  <c r="K40"/>
  <c r="J40"/>
  <c r="I40"/>
  <c r="H40"/>
  <c r="N40" s="1"/>
  <c r="M39"/>
  <c r="L39"/>
  <c r="K39"/>
  <c r="J39"/>
  <c r="N39" s="1"/>
  <c r="I39"/>
  <c r="H39"/>
  <c r="M37"/>
  <c r="L37"/>
  <c r="K37"/>
  <c r="J37"/>
  <c r="I37"/>
  <c r="N37" s="1"/>
  <c r="H37"/>
  <c r="M35"/>
  <c r="L35"/>
  <c r="K35"/>
  <c r="J35"/>
  <c r="I35"/>
  <c r="H35"/>
  <c r="N35" s="1"/>
  <c r="M34"/>
  <c r="L34"/>
  <c r="K34"/>
  <c r="J34"/>
  <c r="I34"/>
  <c r="H34"/>
  <c r="N34" s="1"/>
  <c r="M33"/>
  <c r="L33"/>
  <c r="K33"/>
  <c r="J33"/>
  <c r="N33" s="1"/>
  <c r="I33"/>
  <c r="H33"/>
  <c r="M32"/>
  <c r="L32"/>
  <c r="K32"/>
  <c r="J32"/>
  <c r="I32"/>
  <c r="N32" s="1"/>
  <c r="H32"/>
  <c r="M28"/>
  <c r="L28"/>
  <c r="K28"/>
  <c r="J28"/>
  <c r="I28"/>
  <c r="H28"/>
  <c r="N28" s="1"/>
  <c r="M25"/>
  <c r="L25"/>
  <c r="K25"/>
  <c r="J25"/>
  <c r="I25"/>
  <c r="H25"/>
  <c r="N25" s="1"/>
  <c r="M22"/>
  <c r="L22"/>
  <c r="K22"/>
  <c r="J22"/>
  <c r="N22" s="1"/>
  <c r="I22"/>
  <c r="H22"/>
  <c r="M20"/>
  <c r="L20"/>
  <c r="K20"/>
  <c r="J20"/>
  <c r="I20"/>
  <c r="N20" s="1"/>
  <c r="H20"/>
  <c r="M17"/>
  <c r="L17"/>
  <c r="K17"/>
  <c r="J17"/>
  <c r="I17"/>
  <c r="H17"/>
  <c r="N17" s="1"/>
  <c r="M14"/>
  <c r="L14"/>
  <c r="K14"/>
  <c r="J14"/>
  <c r="I14"/>
  <c r="H14"/>
  <c r="N14" s="1"/>
  <c r="M13"/>
  <c r="L13"/>
  <c r="K13"/>
  <c r="J13"/>
  <c r="N13" s="1"/>
  <c r="I13"/>
  <c r="H13"/>
  <c r="M12"/>
  <c r="L12"/>
  <c r="K12"/>
  <c r="J12"/>
  <c r="I12"/>
  <c r="N12" s="1"/>
  <c r="H12"/>
  <c r="M10"/>
  <c r="L10"/>
  <c r="K10"/>
  <c r="J10"/>
  <c r="I10"/>
  <c r="H10"/>
  <c r="N10" s="1"/>
  <c r="M8"/>
  <c r="L8"/>
  <c r="K8"/>
  <c r="J8"/>
  <c r="I8"/>
  <c r="H8"/>
  <c r="N8" s="1"/>
  <c r="M7"/>
  <c r="M55" s="1"/>
  <c r="L7"/>
  <c r="L55" s="1"/>
  <c r="K7"/>
  <c r="K55" s="1"/>
  <c r="J7"/>
  <c r="J55" s="1"/>
  <c r="I7"/>
  <c r="I55" s="1"/>
  <c r="H7"/>
  <c r="H55" s="1"/>
  <c r="N7" l="1"/>
  <c r="N55" s="1"/>
</calcChain>
</file>

<file path=xl/sharedStrings.xml><?xml version="1.0" encoding="utf-8"?>
<sst xmlns="http://schemas.openxmlformats.org/spreadsheetml/2006/main" count="146" uniqueCount="135">
  <si>
    <t/>
  </si>
  <si>
    <t>№ ПП</t>
  </si>
  <si>
    <t>КОД</t>
  </si>
  <si>
    <t>НАЗВАНИЕ РАБОТЫ</t>
  </si>
  <si>
    <t>ИЗМЕРИТЕЛЬ</t>
  </si>
  <si>
    <t>КОЛ-ВО ЕД. ИЗМ.</t>
  </si>
  <si>
    <t>ПЕРИОДИЧ- НОСТЬ В ГОД</t>
  </si>
  <si>
    <t>ТРУД. РЕСУРСЫ, РУБ.</t>
  </si>
  <si>
    <t>МАТЕР. РЕСУРСЫ, РУБ.</t>
  </si>
  <si>
    <t>МАШ. МЕХ., РУБ.</t>
  </si>
  <si>
    <t>НАКЛ. РАСХОДЫ, РУБ.</t>
  </si>
  <si>
    <t>ПРИБЫЛЬ, РУБ.</t>
  </si>
  <si>
    <t>РАСХОДЫ НА УПРАВ., РУБ.</t>
  </si>
  <si>
    <t>СТОИМОСТЬ, РУБ.</t>
  </si>
  <si>
    <t>Бундурина 36</t>
  </si>
  <si>
    <t>Дата изменения:</t>
  </si>
  <si>
    <t>21.03.2022</t>
  </si>
  <si>
    <t>Общая площадь, кв.м:</t>
  </si>
  <si>
    <t>1.2</t>
  </si>
  <si>
    <t>Кирпичные, каменные и железобетонные стены</t>
  </si>
  <si>
    <t>1.2.17</t>
  </si>
  <si>
    <t>Окраска стен  помещений  общего  пользования</t>
  </si>
  <si>
    <t>1.2.17.1</t>
  </si>
  <si>
    <t>Клеевая окраска стен</t>
  </si>
  <si>
    <t>1.2.17.1.1</t>
  </si>
  <si>
    <t>Простая клеевая окраска стен</t>
  </si>
  <si>
    <t>100 м2 окрашенной поверхности</t>
  </si>
  <si>
    <t>1.2.17.2</t>
  </si>
  <si>
    <t>Известковая окраска ранее окрашенных поверхностей стен</t>
  </si>
  <si>
    <t>1.2.17.3</t>
  </si>
  <si>
    <t>Масляная окраска ранее окрашенных поверхностей</t>
  </si>
  <si>
    <t>1.2.17.3.1</t>
  </si>
  <si>
    <t>Простая масляная окраска ранее окрашенных поверхностей</t>
  </si>
  <si>
    <t>1.2.18</t>
  </si>
  <si>
    <t>Внутренняя отделка зданий</t>
  </si>
  <si>
    <t>1.2.18.1</t>
  </si>
  <si>
    <t>Ремонт внутренней штукатурки потолков отдельными местами</t>
  </si>
  <si>
    <t>100 кв. м</t>
  </si>
  <si>
    <t>1.2.18.6</t>
  </si>
  <si>
    <t>Известковая окраска ранее окрашенных поверхностей потолков</t>
  </si>
  <si>
    <t>100 кв.м</t>
  </si>
  <si>
    <t>1.2.18.12</t>
  </si>
  <si>
    <t>Перетирка штукатурки поверхностей стен и перегородок</t>
  </si>
  <si>
    <t>100 м2 поверхности</t>
  </si>
  <si>
    <t>1.6</t>
  </si>
  <si>
    <t>Полы</t>
  </si>
  <si>
    <t>1.6.1</t>
  </si>
  <si>
    <t>Устранение  повреждений  полов в  местах  общего  пользования  многоквартирного дома</t>
  </si>
  <si>
    <t>1.6.1.1</t>
  </si>
  <si>
    <t>Заделка выбоин в цементных полах</t>
  </si>
  <si>
    <t>кв.м.</t>
  </si>
  <si>
    <t>1.7</t>
  </si>
  <si>
    <t>Перегородки</t>
  </si>
  <si>
    <t>1.7.5</t>
  </si>
  <si>
    <t>Восстановление  облицовки  перегородок</t>
  </si>
  <si>
    <t>1.7.5.8</t>
  </si>
  <si>
    <t>Восстановление (ремонт) штукатурки кирпичных, железобетонных и гипсокартонных перегородок цементно-известковым раствором площадью отдельных мест до 10 кв.м.</t>
  </si>
  <si>
    <t>100 кв.м.</t>
  </si>
  <si>
    <t>1.7.6</t>
  </si>
  <si>
    <t>Окраска  перегородок</t>
  </si>
  <si>
    <t>1.7.6.3</t>
  </si>
  <si>
    <t>Простая масляная окраска перегородок с расчисткой старой краски 10-35  %</t>
  </si>
  <si>
    <t>1.9</t>
  </si>
  <si>
    <t>Оконные и дверные проемы</t>
  </si>
  <si>
    <t>1.9.1</t>
  </si>
  <si>
    <t>Восстановление (ремонт) дверей в помещениях  общего  пользования</t>
  </si>
  <si>
    <t>1.9.1.22</t>
  </si>
  <si>
    <t>Простая масляная окраска дверей</t>
  </si>
  <si>
    <t>1.10</t>
  </si>
  <si>
    <t>Лестницы</t>
  </si>
  <si>
    <t>1.10.5</t>
  </si>
  <si>
    <t>Окраска  металлических  элементов  лестниц</t>
  </si>
  <si>
    <t>1.10.5.1</t>
  </si>
  <si>
    <t>Окраска масляными составами ранее окрашенных металлических решеток  без рельефа за 1 раз</t>
  </si>
  <si>
    <t xml:space="preserve"> 100 м2 окрашиваемой поверхности</t>
  </si>
  <si>
    <t>2.2</t>
  </si>
  <si>
    <t>Системы холодного и горячего водоснабжения</t>
  </si>
  <si>
    <t>2.2.1</t>
  </si>
  <si>
    <t>Ремонт,  замена  внутридомовых сетей водоснабжения</t>
  </si>
  <si>
    <t>2.2.1.1</t>
  </si>
  <si>
    <t>Смена отдельных участков трубопроводов  горячего водоснабжения из стальных водогазопроводных оцинкованных труб при соединении труб на резьбе</t>
  </si>
  <si>
    <t>2.2.1.1.1</t>
  </si>
  <si>
    <t>Смена отдельных участков трубопроводов  водоснабжения из стальных водогазопроводных оцинкованных труб диаметром  15 мм</t>
  </si>
  <si>
    <t>100 м трубопроводов</t>
  </si>
  <si>
    <t>2.2.1.1.2</t>
  </si>
  <si>
    <t>Смена отдельных участков трубопроводов   водоснабжения из стальных водогазопроводных оцинкованных труб диаметром  20 мм</t>
  </si>
  <si>
    <t>2.2.1.1.4</t>
  </si>
  <si>
    <t>Смена отдельных участков трубопроводов водоснабжения из стальных водогазопроводных оцинкованных труб диаметром 32 мм</t>
  </si>
  <si>
    <t>2.2.1.1.6</t>
  </si>
  <si>
    <t>Смена отдельных участков трубопроводов  водоснабжения из стальных водогазопроводных оцинкованных труб диаметром 50 мм</t>
  </si>
  <si>
    <t>2.2.1.6</t>
  </si>
  <si>
    <t>Временная заделка свищей и трещин на внутренних трубопроводах и стояках</t>
  </si>
  <si>
    <t>2.2.1.6.1</t>
  </si>
  <si>
    <t>Временная заделка свищей и трещин на внутренних трубопроводах и стояках при диаметре трубопровода до 50 мм</t>
  </si>
  <si>
    <t>100 мест</t>
  </si>
  <si>
    <t>2.2.6</t>
  </si>
  <si>
    <t>Ремонт оборудования, приборов и арматуры водопроводной сети общего пользования</t>
  </si>
  <si>
    <t>2.2.6.1</t>
  </si>
  <si>
    <t>Смена вентилей и клапанов обратных муфтовых диаметром до 20 мм</t>
  </si>
  <si>
    <t>100 шт.</t>
  </si>
  <si>
    <t>2.2.6.3</t>
  </si>
  <si>
    <t>Смена вентилей и клапанов обратных муфтовых диаметром до 50  мм</t>
  </si>
  <si>
    <t>2.2.6.5</t>
  </si>
  <si>
    <t>Смена задвижек диаметром до 100 мм</t>
  </si>
  <si>
    <t>2.5</t>
  </si>
  <si>
    <t>Внутридомовое электро-, радио- и телеоборудование</t>
  </si>
  <si>
    <t>2.5.7</t>
  </si>
  <si>
    <t>Ремонт,  замена  осветительных установок  помещений   общего  пользования</t>
  </si>
  <si>
    <t>2.5.7.7</t>
  </si>
  <si>
    <t>Замена люминесцентных ламп</t>
  </si>
  <si>
    <t>100 ламп</t>
  </si>
  <si>
    <t>2.6</t>
  </si>
  <si>
    <t>Подготовка многоквартирного дома к сезонной эксплуатации, проведение технических осмотров</t>
  </si>
  <si>
    <t>2.6.14</t>
  </si>
  <si>
    <t>Проведение технических осмотров и устранение незначительных неисправностей в  системе   теплоснабжения</t>
  </si>
  <si>
    <t>2.6.14.3</t>
  </si>
  <si>
    <t>Гидравлическое испытание трубопроводов систем центрального отопления (расконсервация)</t>
  </si>
  <si>
    <t>2.6.14.3.2</t>
  </si>
  <si>
    <t>Рабочая проверка системы в целом при диаметре трубопровода до 50 мм</t>
  </si>
  <si>
    <t>100 м трубопровода</t>
  </si>
  <si>
    <t>2.6.14.3.3</t>
  </si>
  <si>
    <t>Окончательная проверка при сдаче системы при диаметре трубопровода до 50 мм</t>
  </si>
  <si>
    <t>2.6.14.4</t>
  </si>
  <si>
    <t>Промывка трубопроводов системы центрального отопления</t>
  </si>
  <si>
    <t>2.6.14.4.1</t>
  </si>
  <si>
    <t>Промывка трубопроводов системы центрального отопления до 50 мм</t>
  </si>
  <si>
    <t>10 м трубопровода (100 м3 здания)</t>
  </si>
  <si>
    <t>2.6.14.5</t>
  </si>
  <si>
    <t>Устранение незначительных неисправностей в  системе   теплоснабжения</t>
  </si>
  <si>
    <t>2.6.14.5.5</t>
  </si>
  <si>
    <t>Ликвидация воздушных пробок в системе отопления</t>
  </si>
  <si>
    <t>2.6.14.5.5.1</t>
  </si>
  <si>
    <t>Ликвидация воздушных пробок в стояке системы отопления</t>
  </si>
  <si>
    <t>100 стояков</t>
  </si>
  <si>
    <t>ИТОГО:</t>
  </si>
</sst>
</file>

<file path=xl/styles.xml><?xml version="1.0" encoding="utf-8"?>
<styleSheet xmlns="http://schemas.openxmlformats.org/spreadsheetml/2006/main">
  <numFmts count="1">
    <numFmt numFmtId="164" formatCode="#\ ###\ ##0.00"/>
  </numFmts>
  <fonts count="11">
    <font>
      <sz val="11"/>
      <color theme="1"/>
      <name val="Calibri"/>
      <family val="2"/>
      <scheme val="minor"/>
    </font>
    <font>
      <sz val="9"/>
      <name val="Calibri"/>
      <family val="2"/>
      <charset val="204"/>
    </font>
    <font>
      <sz val="10"/>
      <name val="Calibri"/>
      <family val="2"/>
      <charset val="204"/>
    </font>
    <font>
      <sz val="12"/>
      <name val="Calibri"/>
      <family val="2"/>
      <charset val="204"/>
    </font>
    <font>
      <b/>
      <sz val="9"/>
      <color rgb="FFFFFFFF"/>
      <name val="Calibri"/>
      <family val="2"/>
      <charset val="204"/>
    </font>
    <font>
      <b/>
      <sz val="18"/>
      <color rgb="FF000099"/>
      <name val="Calibri"/>
      <family val="2"/>
      <charset val="204"/>
    </font>
    <font>
      <i/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0"/>
      <color rgb="FF707070"/>
      <name val="Calibri"/>
      <family val="2"/>
      <charset val="204"/>
    </font>
    <font>
      <b/>
      <sz val="11"/>
      <color rgb="FFFFFFFF"/>
      <name val="Calibri"/>
      <family val="2"/>
      <charset val="204"/>
    </font>
    <font>
      <b/>
      <sz val="10"/>
      <color rgb="FFFFFFFF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546E7A"/>
      </patternFill>
    </fill>
    <fill>
      <patternFill patternType="solid">
        <fgColor rgb="FFDCE6F1"/>
      </patternFill>
    </fill>
    <fill>
      <patternFill patternType="solid">
        <fgColor rgb="FFF2F2F2"/>
      </patternFill>
    </fill>
    <fill>
      <patternFill patternType="solid">
        <fgColor rgb="FFF9F7ED"/>
      </patternFill>
    </fill>
    <fill>
      <patternFill patternType="solid">
        <fgColor rgb="FFF5F2E0"/>
      </patternFill>
    </fill>
    <fill>
      <patternFill patternType="solid">
        <fgColor rgb="FFEBF1DE"/>
      </patternFill>
    </fill>
  </fills>
  <borders count="12">
    <border>
      <left/>
      <right/>
      <top/>
      <bottom/>
      <diagonal/>
    </border>
    <border>
      <left style="thick">
        <color rgb="FF000000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top" wrapText="1" indent="1"/>
    </xf>
    <xf numFmtId="49" fontId="2" fillId="0" borderId="0" xfId="0" applyNumberFormat="1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indent="1"/>
    </xf>
    <xf numFmtId="164" fontId="2" fillId="0" borderId="0" xfId="0" applyNumberFormat="1" applyFont="1" applyAlignment="1">
      <alignment horizontal="right" vertical="top" indent="1"/>
    </xf>
    <xf numFmtId="0" fontId="4" fillId="0" borderId="0" xfId="0" applyFont="1" applyAlignment="1">
      <alignment horizontal="center" vertical="center" wrapText="1" indent="1"/>
    </xf>
    <xf numFmtId="0" fontId="4" fillId="2" borderId="1" xfId="0" applyFont="1" applyFill="1" applyBorder="1" applyAlignment="1">
      <alignment horizontal="center" vertical="center" wrapText="1" indent="1"/>
    </xf>
    <xf numFmtId="49" fontId="4" fillId="2" borderId="2" xfId="0" applyNumberFormat="1" applyFont="1" applyFill="1" applyBorder="1" applyAlignment="1">
      <alignment horizontal="center" vertical="center" wrapText="1" indent="1"/>
    </xf>
    <xf numFmtId="0" fontId="4" fillId="2" borderId="2" xfId="0" applyFont="1" applyFill="1" applyBorder="1" applyAlignment="1">
      <alignment horizontal="center" vertical="center" wrapText="1" indent="1"/>
    </xf>
    <xf numFmtId="164" fontId="4" fillId="2" borderId="2" xfId="0" applyNumberFormat="1" applyFont="1" applyFill="1" applyBorder="1" applyAlignment="1">
      <alignment horizontal="center" vertical="center" wrapText="1" indent="1"/>
    </xf>
    <xf numFmtId="164" fontId="4" fillId="2" borderId="3" xfId="0" applyNumberFormat="1" applyFont="1" applyFill="1" applyBorder="1" applyAlignment="1">
      <alignment horizontal="center" vertical="center" wrapText="1" indent="1"/>
    </xf>
    <xf numFmtId="0" fontId="6" fillId="0" borderId="6" xfId="0" applyFont="1" applyBorder="1" applyAlignment="1">
      <alignment horizontal="left" indent="1"/>
    </xf>
    <xf numFmtId="164" fontId="6" fillId="0" borderId="8" xfId="0" applyNumberFormat="1" applyFont="1" applyBorder="1" applyAlignment="1">
      <alignment horizontal="left" indent="1"/>
    </xf>
    <xf numFmtId="0" fontId="7" fillId="0" borderId="0" xfId="0" applyFont="1"/>
    <xf numFmtId="0" fontId="7" fillId="3" borderId="9" xfId="0" applyFont="1" applyFill="1" applyBorder="1" applyAlignment="1">
      <alignment horizontal="center" vertical="top" wrapText="1" indent="1"/>
    </xf>
    <xf numFmtId="49" fontId="7" fillId="3" borderId="10" xfId="0" applyNumberFormat="1" applyFont="1" applyFill="1" applyBorder="1" applyAlignment="1">
      <alignment horizontal="left" vertical="top" wrapText="1" indent="1"/>
    </xf>
    <xf numFmtId="0" fontId="8" fillId="0" borderId="0" xfId="0" applyFont="1"/>
    <xf numFmtId="0" fontId="8" fillId="4" borderId="9" xfId="0" applyFont="1" applyFill="1" applyBorder="1" applyAlignment="1">
      <alignment horizontal="center" vertical="top" wrapText="1" indent="1"/>
    </xf>
    <xf numFmtId="49" fontId="8" fillId="4" borderId="10" xfId="0" applyNumberFormat="1" applyFont="1" applyFill="1" applyBorder="1" applyAlignment="1">
      <alignment horizontal="left" vertical="top" wrapText="1" indent="1"/>
    </xf>
    <xf numFmtId="0" fontId="1" fillId="0" borderId="9" xfId="0" applyFont="1" applyBorder="1" applyAlignment="1">
      <alignment horizontal="center" vertical="top" wrapText="1" indent="1"/>
    </xf>
    <xf numFmtId="49" fontId="2" fillId="0" borderId="10" xfId="0" applyNumberFormat="1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/>
    </xf>
    <xf numFmtId="0" fontId="3" fillId="5" borderId="10" xfId="0" applyFont="1" applyFill="1" applyBorder="1" applyAlignment="1">
      <alignment horizontal="right" vertical="top" indent="1"/>
    </xf>
    <xf numFmtId="0" fontId="3" fillId="6" borderId="10" xfId="0" applyFont="1" applyFill="1" applyBorder="1" applyAlignment="1">
      <alignment horizontal="right" vertical="top" indent="1"/>
    </xf>
    <xf numFmtId="164" fontId="2" fillId="0" borderId="10" xfId="0" applyNumberFormat="1" applyFont="1" applyBorder="1" applyAlignment="1">
      <alignment horizontal="right" vertical="top" indent="1"/>
    </xf>
    <xf numFmtId="164" fontId="2" fillId="7" borderId="11" xfId="0" applyNumberFormat="1" applyFont="1" applyFill="1" applyBorder="1" applyAlignment="1">
      <alignment horizontal="right" vertical="top" indent="1"/>
    </xf>
    <xf numFmtId="0" fontId="9" fillId="0" borderId="0" xfId="0" applyFont="1" applyAlignment="1">
      <alignment horizontal="right" vertical="center" wrapText="1" indent="1"/>
    </xf>
    <xf numFmtId="164" fontId="9" fillId="2" borderId="2" xfId="0" applyNumberFormat="1" applyFont="1" applyFill="1" applyBorder="1" applyAlignment="1">
      <alignment horizontal="right" vertical="center" wrapText="1" indent="1"/>
    </xf>
    <xf numFmtId="164" fontId="9" fillId="2" borderId="3" xfId="0" applyNumberFormat="1" applyFont="1" applyFill="1" applyBorder="1" applyAlignment="1">
      <alignment horizontal="right" vertical="center" wrapText="1" indent="1"/>
    </xf>
    <xf numFmtId="0" fontId="5" fillId="0" borderId="4" xfId="0" applyFont="1" applyBorder="1" applyAlignment="1">
      <alignment horizontal="left" vertical="center" indent="1"/>
    </xf>
    <xf numFmtId="164" fontId="6" fillId="0" borderId="5" xfId="0" applyNumberFormat="1" applyFont="1" applyBorder="1" applyAlignment="1">
      <alignment horizontal="right" indent="1"/>
    </xf>
    <xf numFmtId="164" fontId="6" fillId="0" borderId="7" xfId="0" applyNumberFormat="1" applyFont="1" applyBorder="1" applyAlignment="1">
      <alignment horizontal="right" indent="1"/>
    </xf>
    <xf numFmtId="0" fontId="7" fillId="3" borderId="11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indent="1"/>
    </xf>
    <xf numFmtId="0" fontId="8" fillId="4" borderId="11" xfId="0" applyFont="1" applyFill="1" applyBorder="1" applyAlignment="1">
      <alignment indent="2"/>
    </xf>
    <xf numFmtId="0" fontId="8" fillId="4" borderId="11" xfId="0" applyFont="1" applyFill="1" applyBorder="1" applyAlignment="1">
      <alignment indent="3"/>
    </xf>
    <xf numFmtId="0" fontId="10" fillId="2" borderId="1" xfId="0" applyFont="1" applyFill="1" applyBorder="1" applyAlignment="1">
      <alignment horizontal="right" vertical="center" wrapText="1" inden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5"/>
  <sheetViews>
    <sheetView tabSelected="1" workbookViewId="0">
      <pane ySplit="1" topLeftCell="A2" activePane="bottomLeft" state="frozen"/>
      <selection pane="bottomLeft" activeCell="F8" sqref="F8"/>
    </sheetView>
  </sheetViews>
  <sheetFormatPr defaultRowHeight="15.75"/>
  <cols>
    <col min="1" max="1" width="3" customWidth="1"/>
    <col min="2" max="2" width="6" style="1" customWidth="1"/>
    <col min="3" max="3" width="13" style="2" customWidth="1"/>
    <col min="4" max="4" width="50" style="3" customWidth="1"/>
    <col min="5" max="5" width="20" style="3" customWidth="1"/>
    <col min="6" max="7" width="12" style="4" customWidth="1"/>
    <col min="8" max="9" width="14" style="5" customWidth="1"/>
    <col min="10" max="10" width="13" style="5" customWidth="1"/>
    <col min="11" max="13" width="14" style="5" customWidth="1"/>
    <col min="14" max="14" width="16" style="5" customWidth="1"/>
  </cols>
  <sheetData>
    <row r="1" spans="1:14" s="6" customFormat="1" ht="39.950000000000003" customHeight="1">
      <c r="A1" s="6" t="s">
        <v>0</v>
      </c>
      <c r="B1" s="7" t="s">
        <v>1</v>
      </c>
      <c r="C1" s="8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1" t="s">
        <v>13</v>
      </c>
    </row>
    <row r="2" spans="1:14" ht="15">
      <c r="A2" t="s">
        <v>0</v>
      </c>
      <c r="B2" s="30" t="s">
        <v>14</v>
      </c>
      <c r="C2" s="30"/>
      <c r="D2" s="30"/>
      <c r="E2" s="30"/>
      <c r="F2" s="30"/>
      <c r="G2" s="30"/>
      <c r="H2" s="30"/>
      <c r="I2" s="30"/>
      <c r="J2" s="30"/>
      <c r="K2" s="30"/>
      <c r="L2" s="31" t="s">
        <v>15</v>
      </c>
      <c r="M2" s="31"/>
      <c r="N2" s="12" t="s">
        <v>16</v>
      </c>
    </row>
    <row r="3" spans="1:14" ht="15">
      <c r="B3" s="30"/>
      <c r="C3" s="30"/>
      <c r="D3" s="30"/>
      <c r="E3" s="30"/>
      <c r="F3" s="30"/>
      <c r="G3" s="30"/>
      <c r="H3" s="30"/>
      <c r="I3" s="30"/>
      <c r="J3" s="30"/>
      <c r="K3" s="30"/>
      <c r="L3" s="32" t="s">
        <v>17</v>
      </c>
      <c r="M3" s="32"/>
      <c r="N3" s="13">
        <v>0</v>
      </c>
    </row>
    <row r="4" spans="1:14" s="14" customFormat="1" ht="15">
      <c r="B4" s="15"/>
      <c r="C4" s="16" t="s">
        <v>18</v>
      </c>
      <c r="D4" s="33" t="s">
        <v>19</v>
      </c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4" s="17" customFormat="1" ht="12.75">
      <c r="B5" s="18"/>
      <c r="C5" s="19" t="s">
        <v>20</v>
      </c>
      <c r="D5" s="34" t="s">
        <v>21</v>
      </c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 s="17" customFormat="1" ht="12.75">
      <c r="B6" s="18"/>
      <c r="C6" s="19" t="s">
        <v>22</v>
      </c>
      <c r="D6" s="35" t="s">
        <v>23</v>
      </c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ht="25.5">
      <c r="B7" s="20">
        <v>1</v>
      </c>
      <c r="C7" s="21" t="s">
        <v>24</v>
      </c>
      <c r="D7" s="22" t="s">
        <v>25</v>
      </c>
      <c r="E7" s="22" t="s">
        <v>26</v>
      </c>
      <c r="F7" s="23">
        <v>1</v>
      </c>
      <c r="G7" s="24">
        <v>1</v>
      </c>
      <c r="H7" s="25">
        <f>F7 * G7 * 1380</f>
        <v>1380</v>
      </c>
      <c r="I7" s="25">
        <f>F7 * G7 * 448.663757</f>
        <v>448.66375699999998</v>
      </c>
      <c r="J7" s="25">
        <f>F7 * G7 * 0</f>
        <v>0</v>
      </c>
      <c r="K7" s="25">
        <f>F7 * G7 * 1313.76</f>
        <v>1313.76</v>
      </c>
      <c r="L7" s="25">
        <f>F7 * G7 * 360.643707</f>
        <v>360.64370700000001</v>
      </c>
      <c r="M7" s="25">
        <f>F7 * G7 * 276</f>
        <v>276</v>
      </c>
      <c r="N7" s="26">
        <f>SUM(H7:M7)</f>
        <v>3779.0674640000002</v>
      </c>
    </row>
    <row r="8" spans="1:14" ht="25.5">
      <c r="B8" s="20">
        <v>2</v>
      </c>
      <c r="C8" s="21" t="s">
        <v>27</v>
      </c>
      <c r="D8" s="22" t="s">
        <v>28</v>
      </c>
      <c r="E8" s="22" t="s">
        <v>26</v>
      </c>
      <c r="F8" s="23">
        <v>1</v>
      </c>
      <c r="G8" s="24">
        <v>1</v>
      </c>
      <c r="H8" s="25">
        <f>F8 * G8 * 1794</f>
        <v>1794</v>
      </c>
      <c r="I8" s="25">
        <f>F8 * G8 * 419.181225</f>
        <v>419.18122499999998</v>
      </c>
      <c r="J8" s="25">
        <f>F8 * G8 * 0</f>
        <v>0</v>
      </c>
      <c r="K8" s="25">
        <f>F8 * G8 * 1707.888</f>
        <v>1707.8879999999999</v>
      </c>
      <c r="L8" s="25">
        <f>F8 * G8 * 451.526202999999</f>
        <v>451.52620299999899</v>
      </c>
      <c r="M8" s="25">
        <f>F8 * G8 * 358.8</f>
        <v>358.8</v>
      </c>
      <c r="N8" s="26">
        <f>SUM(H8:M8)</f>
        <v>4731.3954279999989</v>
      </c>
    </row>
    <row r="9" spans="1:14" s="17" customFormat="1" ht="12.75">
      <c r="B9" s="18"/>
      <c r="C9" s="19" t="s">
        <v>29</v>
      </c>
      <c r="D9" s="35" t="s">
        <v>30</v>
      </c>
      <c r="E9" s="35"/>
      <c r="F9" s="35"/>
      <c r="G9" s="35"/>
      <c r="H9" s="35"/>
      <c r="I9" s="35"/>
      <c r="J9" s="35"/>
      <c r="K9" s="35"/>
      <c r="L9" s="35"/>
      <c r="M9" s="35"/>
      <c r="N9" s="35"/>
    </row>
    <row r="10" spans="1:14" ht="25.5">
      <c r="B10" s="20">
        <v>3</v>
      </c>
      <c r="C10" s="21" t="s">
        <v>31</v>
      </c>
      <c r="D10" s="22" t="s">
        <v>32</v>
      </c>
      <c r="E10" s="22" t="s">
        <v>26</v>
      </c>
      <c r="F10" s="23">
        <v>0.76</v>
      </c>
      <c r="G10" s="24">
        <v>1</v>
      </c>
      <c r="H10" s="25">
        <f>F10 * G10 * 6072</f>
        <v>4614.72</v>
      </c>
      <c r="I10" s="25">
        <f>F10 * G10 * 2240.512006</f>
        <v>1702.7891245599999</v>
      </c>
      <c r="J10" s="25">
        <f>F10 * G10 * 0</f>
        <v>0</v>
      </c>
      <c r="K10" s="25">
        <f>F10 * G10 * 5780.544</f>
        <v>4393.2134399999995</v>
      </c>
      <c r="L10" s="25">
        <f>F10 * G10 * 1614.936609</f>
        <v>1227.3518228400001</v>
      </c>
      <c r="M10" s="25">
        <f>F10 * G10 * 1214.4</f>
        <v>922.94400000000007</v>
      </c>
      <c r="N10" s="26">
        <f>SUM(H10:M10)</f>
        <v>12861.018387399999</v>
      </c>
    </row>
    <row r="11" spans="1:14" s="17" customFormat="1" ht="12.75">
      <c r="B11" s="18"/>
      <c r="C11" s="19" t="s">
        <v>33</v>
      </c>
      <c r="D11" s="34" t="s">
        <v>34</v>
      </c>
      <c r="E11" s="34"/>
      <c r="F11" s="34"/>
      <c r="G11" s="34"/>
      <c r="H11" s="34"/>
      <c r="I11" s="34"/>
      <c r="J11" s="34"/>
      <c r="K11" s="34"/>
      <c r="L11" s="34"/>
      <c r="M11" s="34"/>
      <c r="N11" s="34"/>
    </row>
    <row r="12" spans="1:14" ht="25.5">
      <c r="B12" s="20">
        <v>4</v>
      </c>
      <c r="C12" s="21" t="s">
        <v>35</v>
      </c>
      <c r="D12" s="22" t="s">
        <v>36</v>
      </c>
      <c r="E12" s="22" t="s">
        <v>37</v>
      </c>
      <c r="F12" s="23">
        <v>0.25</v>
      </c>
      <c r="G12" s="24">
        <v>1</v>
      </c>
      <c r="H12" s="25">
        <f>F12 * G12 * 49429.2</f>
        <v>12357.3</v>
      </c>
      <c r="I12" s="25">
        <f>F12 * G12 * 17366.40406</f>
        <v>4341.6010150000002</v>
      </c>
      <c r="J12" s="25">
        <f>F12 * G12 * 0</f>
        <v>0</v>
      </c>
      <c r="K12" s="25">
        <f>F12 * G12 * 47056.5984</f>
        <v>11764.149600000001</v>
      </c>
      <c r="L12" s="25">
        <f>F12 * G12 * 13054.363479</f>
        <v>3263.5908697499999</v>
      </c>
      <c r="M12" s="25">
        <f>F12 * G12 * 9885.84</f>
        <v>2471.46</v>
      </c>
      <c r="N12" s="26">
        <f>SUM(H12:M12)</f>
        <v>34198.101484749997</v>
      </c>
    </row>
    <row r="13" spans="1:14" ht="25.5">
      <c r="B13" s="20">
        <v>5</v>
      </c>
      <c r="C13" s="21" t="s">
        <v>38</v>
      </c>
      <c r="D13" s="22" t="s">
        <v>39</v>
      </c>
      <c r="E13" s="22" t="s">
        <v>40</v>
      </c>
      <c r="F13" s="23">
        <v>0.6</v>
      </c>
      <c r="G13" s="24">
        <v>1</v>
      </c>
      <c r="H13" s="25">
        <f>F13 * G13 * 2208</f>
        <v>1324.8</v>
      </c>
      <c r="I13" s="25">
        <f>F13 * G13 * 454.051749</f>
        <v>272.43104939999995</v>
      </c>
      <c r="J13" s="25">
        <f>F13 * G13 * 0</f>
        <v>0</v>
      </c>
      <c r="K13" s="25">
        <f>F13 * G13 * 2102.016</f>
        <v>1261.2095999999999</v>
      </c>
      <c r="L13" s="25">
        <f>F13 * G13 * 549.197948</f>
        <v>329.51876879999998</v>
      </c>
      <c r="M13" s="25">
        <f>F13 * G13 * 441.6</f>
        <v>264.95999999999998</v>
      </c>
      <c r="N13" s="26">
        <f>SUM(H13:M13)</f>
        <v>3452.9194181999997</v>
      </c>
    </row>
    <row r="14" spans="1:14">
      <c r="B14" s="20">
        <v>6</v>
      </c>
      <c r="C14" s="21" t="s">
        <v>41</v>
      </c>
      <c r="D14" s="22" t="s">
        <v>42</v>
      </c>
      <c r="E14" s="22" t="s">
        <v>43</v>
      </c>
      <c r="F14" s="23">
        <v>0.5</v>
      </c>
      <c r="G14" s="24">
        <v>1</v>
      </c>
      <c r="H14" s="25">
        <f>F14 * G14 * 4864.482</f>
        <v>2432.241</v>
      </c>
      <c r="I14" s="25">
        <f>F14 * G14 * 106.528474</f>
        <v>53.264237000000001</v>
      </c>
      <c r="J14" s="25">
        <f>F14 * G14 * 0</f>
        <v>0</v>
      </c>
      <c r="K14" s="25">
        <f>F14 * G14 * 4630.986864</f>
        <v>2315.4934320000002</v>
      </c>
      <c r="L14" s="25">
        <f>F14 * G14 * 1115.65129</f>
        <v>557.82564500000001</v>
      </c>
      <c r="M14" s="25">
        <f>F14 * G14 * 972.8964</f>
        <v>486.44819999999999</v>
      </c>
      <c r="N14" s="26">
        <f>SUM(H14:M14)</f>
        <v>5845.2725140000002</v>
      </c>
    </row>
    <row r="15" spans="1:14" s="14" customFormat="1" ht="15">
      <c r="B15" s="15"/>
      <c r="C15" s="16" t="s">
        <v>44</v>
      </c>
      <c r="D15" s="33" t="s">
        <v>45</v>
      </c>
      <c r="E15" s="33"/>
      <c r="F15" s="33"/>
      <c r="G15" s="33"/>
      <c r="H15" s="33"/>
      <c r="I15" s="33"/>
      <c r="J15" s="33"/>
      <c r="K15" s="33"/>
      <c r="L15" s="33"/>
      <c r="M15" s="33"/>
      <c r="N15" s="33"/>
    </row>
    <row r="16" spans="1:14" s="17" customFormat="1" ht="12.75">
      <c r="B16" s="18"/>
      <c r="C16" s="19" t="s">
        <v>46</v>
      </c>
      <c r="D16" s="34" t="s">
        <v>47</v>
      </c>
      <c r="E16" s="34"/>
      <c r="F16" s="34"/>
      <c r="G16" s="34"/>
      <c r="H16" s="34"/>
      <c r="I16" s="34"/>
      <c r="J16" s="34"/>
      <c r="K16" s="34"/>
      <c r="L16" s="34"/>
      <c r="M16" s="34"/>
      <c r="N16" s="34"/>
    </row>
    <row r="17" spans="2:14">
      <c r="B17" s="20">
        <v>7</v>
      </c>
      <c r="C17" s="21" t="s">
        <v>48</v>
      </c>
      <c r="D17" s="22" t="s">
        <v>49</v>
      </c>
      <c r="E17" s="22" t="s">
        <v>50</v>
      </c>
      <c r="F17" s="23">
        <v>2</v>
      </c>
      <c r="G17" s="24">
        <v>1</v>
      </c>
      <c r="H17" s="25">
        <f>F17 * G17 * 229.8468</f>
        <v>459.6936</v>
      </c>
      <c r="I17" s="25">
        <f>F17 * G17 * 86.225496</f>
        <v>172.45099200000001</v>
      </c>
      <c r="J17" s="25">
        <f>F17 * G17 * 0</f>
        <v>0</v>
      </c>
      <c r="K17" s="25">
        <f>F17 * G17 * 218.814154</f>
        <v>437.628308</v>
      </c>
      <c r="L17" s="25">
        <f>F17 * G17 * 61.280288</f>
        <v>122.560576</v>
      </c>
      <c r="M17" s="25">
        <f>F17 * G17 * 45.96936</f>
        <v>91.938720000000004</v>
      </c>
      <c r="N17" s="26">
        <f>SUM(H17:M17)</f>
        <v>1284.2721960000001</v>
      </c>
    </row>
    <row r="18" spans="2:14" s="14" customFormat="1" ht="15">
      <c r="B18" s="15"/>
      <c r="C18" s="16" t="s">
        <v>51</v>
      </c>
      <c r="D18" s="33" t="s">
        <v>52</v>
      </c>
      <c r="E18" s="33"/>
      <c r="F18" s="33"/>
      <c r="G18" s="33"/>
      <c r="H18" s="33"/>
      <c r="I18" s="33"/>
      <c r="J18" s="33"/>
      <c r="K18" s="33"/>
      <c r="L18" s="33"/>
      <c r="M18" s="33"/>
      <c r="N18" s="33"/>
    </row>
    <row r="19" spans="2:14" s="17" customFormat="1" ht="12.75">
      <c r="B19" s="18"/>
      <c r="C19" s="19" t="s">
        <v>53</v>
      </c>
      <c r="D19" s="34" t="s">
        <v>54</v>
      </c>
      <c r="E19" s="34"/>
      <c r="F19" s="34"/>
      <c r="G19" s="34"/>
      <c r="H19" s="34"/>
      <c r="I19" s="34"/>
      <c r="J19" s="34"/>
      <c r="K19" s="34"/>
      <c r="L19" s="34"/>
      <c r="M19" s="34"/>
      <c r="N19" s="34"/>
    </row>
    <row r="20" spans="2:14" ht="51">
      <c r="B20" s="20">
        <v>8</v>
      </c>
      <c r="C20" s="21" t="s">
        <v>55</v>
      </c>
      <c r="D20" s="22" t="s">
        <v>56</v>
      </c>
      <c r="E20" s="22" t="s">
        <v>57</v>
      </c>
      <c r="F20" s="23">
        <v>0.05</v>
      </c>
      <c r="G20" s="24">
        <v>1</v>
      </c>
      <c r="H20" s="25">
        <f>F20 * G20 * 39470.80944</f>
        <v>1973.5404719999999</v>
      </c>
      <c r="I20" s="25">
        <f>F20 * G20 * 6394.7268</f>
        <v>319.73634000000004</v>
      </c>
      <c r="J20" s="25">
        <f>F20 * G20 * 205.132158</f>
        <v>10.256607900000001</v>
      </c>
      <c r="K20" s="25">
        <f>F20 * G20 * 37743.023479</f>
        <v>1887.1511739500002</v>
      </c>
      <c r="L20" s="25">
        <f>F20 * G20 * 9678.87579</f>
        <v>483.94378950000004</v>
      </c>
      <c r="M20" s="25">
        <f>F20 * G20 * 7929.206613</f>
        <v>396.46033065000006</v>
      </c>
      <c r="N20" s="26">
        <f>SUM(H20:M20)</f>
        <v>5071.0887140000004</v>
      </c>
    </row>
    <row r="21" spans="2:14" s="17" customFormat="1" ht="12.75">
      <c r="B21" s="18"/>
      <c r="C21" s="19" t="s">
        <v>58</v>
      </c>
      <c r="D21" s="34" t="s">
        <v>59</v>
      </c>
      <c r="E21" s="34"/>
      <c r="F21" s="34"/>
      <c r="G21" s="34"/>
      <c r="H21" s="34"/>
      <c r="I21" s="34"/>
      <c r="J21" s="34"/>
      <c r="K21" s="34"/>
      <c r="L21" s="34"/>
      <c r="M21" s="34"/>
      <c r="N21" s="34"/>
    </row>
    <row r="22" spans="2:14" ht="25.5">
      <c r="B22" s="20">
        <v>9</v>
      </c>
      <c r="C22" s="21" t="s">
        <v>60</v>
      </c>
      <c r="D22" s="22" t="s">
        <v>61</v>
      </c>
      <c r="E22" s="22" t="s">
        <v>57</v>
      </c>
      <c r="F22" s="23">
        <v>2.5</v>
      </c>
      <c r="G22" s="24">
        <v>1</v>
      </c>
      <c r="H22" s="25">
        <f>F22 * G22 * 4594.02</f>
        <v>11485.050000000001</v>
      </c>
      <c r="I22" s="25">
        <f>F22 * G22 * 2100.335666</f>
        <v>5250.8391649999994</v>
      </c>
      <c r="J22" s="25">
        <f>F22 * G22 * 0</f>
        <v>0</v>
      </c>
      <c r="K22" s="25">
        <f>F22 * G22 * 4373.50703999999</f>
        <v>10933.767599999976</v>
      </c>
      <c r="L22" s="25">
        <f>F22 * G22 * 1264.593338</f>
        <v>3161.4833449999996</v>
      </c>
      <c r="M22" s="25">
        <f>F22 * G22 * 918.804</f>
        <v>2297.0099999999998</v>
      </c>
      <c r="N22" s="26">
        <f>SUM(H22:M22)</f>
        <v>33128.15010999998</v>
      </c>
    </row>
    <row r="23" spans="2:14" s="14" customFormat="1" ht="15">
      <c r="B23" s="15"/>
      <c r="C23" s="16" t="s">
        <v>62</v>
      </c>
      <c r="D23" s="33" t="s">
        <v>63</v>
      </c>
      <c r="E23" s="33"/>
      <c r="F23" s="33"/>
      <c r="G23" s="33"/>
      <c r="H23" s="33"/>
      <c r="I23" s="33"/>
      <c r="J23" s="33"/>
      <c r="K23" s="33"/>
      <c r="L23" s="33"/>
      <c r="M23" s="33"/>
      <c r="N23" s="33"/>
    </row>
    <row r="24" spans="2:14" s="17" customFormat="1" ht="12.75">
      <c r="B24" s="18"/>
      <c r="C24" s="19" t="s">
        <v>64</v>
      </c>
      <c r="D24" s="34" t="s">
        <v>65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</row>
    <row r="25" spans="2:14">
      <c r="B25" s="20">
        <v>10</v>
      </c>
      <c r="C25" s="21" t="s">
        <v>66</v>
      </c>
      <c r="D25" s="22" t="s">
        <v>67</v>
      </c>
      <c r="E25" s="22" t="s">
        <v>57</v>
      </c>
      <c r="F25" s="23">
        <v>0.06</v>
      </c>
      <c r="G25" s="24">
        <v>1</v>
      </c>
      <c r="H25" s="25">
        <f>F25 * G25 * 7314</f>
        <v>438.84</v>
      </c>
      <c r="I25" s="25">
        <f>F25 * G25 * 2986.115776</f>
        <v>179.16694655999999</v>
      </c>
      <c r="J25" s="25">
        <f>F25 * G25 * 0</f>
        <v>0</v>
      </c>
      <c r="K25" s="25">
        <f>F25 * G25 * 6962.928</f>
        <v>417.77567999999997</v>
      </c>
      <c r="L25" s="25">
        <f>F25 * G25 * 1975.57651799999</f>
        <v>118.5345910799994</v>
      </c>
      <c r="M25" s="25">
        <f>F25 * G25 * 1462.8</f>
        <v>87.768000000000001</v>
      </c>
      <c r="N25" s="26">
        <f>SUM(H25:M25)</f>
        <v>1242.0852176399994</v>
      </c>
    </row>
    <row r="26" spans="2:14" s="14" customFormat="1" ht="15">
      <c r="B26" s="15"/>
      <c r="C26" s="16" t="s">
        <v>68</v>
      </c>
      <c r="D26" s="33" t="s">
        <v>69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</row>
    <row r="27" spans="2:14" s="17" customFormat="1" ht="12.75">
      <c r="B27" s="18"/>
      <c r="C27" s="19" t="s">
        <v>70</v>
      </c>
      <c r="D27" s="34" t="s">
        <v>71</v>
      </c>
      <c r="E27" s="34"/>
      <c r="F27" s="34"/>
      <c r="G27" s="34"/>
      <c r="H27" s="34"/>
      <c r="I27" s="34"/>
      <c r="J27" s="34"/>
      <c r="K27" s="34"/>
      <c r="L27" s="34"/>
      <c r="M27" s="34"/>
      <c r="N27" s="34"/>
    </row>
    <row r="28" spans="2:14" ht="38.25">
      <c r="B28" s="20">
        <v>11</v>
      </c>
      <c r="C28" s="21" t="s">
        <v>72</v>
      </c>
      <c r="D28" s="22" t="s">
        <v>73</v>
      </c>
      <c r="E28" s="22" t="s">
        <v>74</v>
      </c>
      <c r="F28" s="23">
        <v>0.3</v>
      </c>
      <c r="G28" s="24">
        <v>1</v>
      </c>
      <c r="H28" s="25">
        <f>F28 * G28 * 8659.5</f>
        <v>2597.85</v>
      </c>
      <c r="I28" s="25">
        <f>F28 * G28 * 1090.294211</f>
        <v>327.08826329999994</v>
      </c>
      <c r="J28" s="25">
        <f>F28 * G28 * 0</f>
        <v>0</v>
      </c>
      <c r="K28" s="25">
        <f>F28 * G28 * 8243.844</f>
        <v>2473.1531999999997</v>
      </c>
      <c r="L28" s="25">
        <f>F28 * G28 * 2081.044281</f>
        <v>624.31328429999996</v>
      </c>
      <c r="M28" s="25">
        <f>F28 * G28 * 1731.9</f>
        <v>519.57000000000005</v>
      </c>
      <c r="N28" s="26">
        <f>SUM(H28:M28)</f>
        <v>6541.9747475999993</v>
      </c>
    </row>
    <row r="29" spans="2:14" s="14" customFormat="1" ht="15">
      <c r="B29" s="15"/>
      <c r="C29" s="16" t="s">
        <v>75</v>
      </c>
      <c r="D29" s="33" t="s">
        <v>76</v>
      </c>
      <c r="E29" s="33"/>
      <c r="F29" s="33"/>
      <c r="G29" s="33"/>
      <c r="H29" s="33"/>
      <c r="I29" s="33"/>
      <c r="J29" s="33"/>
      <c r="K29" s="33"/>
      <c r="L29" s="33"/>
      <c r="M29" s="33"/>
      <c r="N29" s="33"/>
    </row>
    <row r="30" spans="2:14" s="17" customFormat="1" ht="12.75">
      <c r="B30" s="18"/>
      <c r="C30" s="19" t="s">
        <v>77</v>
      </c>
      <c r="D30" s="34" t="s">
        <v>78</v>
      </c>
      <c r="E30" s="34"/>
      <c r="F30" s="34"/>
      <c r="G30" s="34"/>
      <c r="H30" s="34"/>
      <c r="I30" s="34"/>
      <c r="J30" s="34"/>
      <c r="K30" s="34"/>
      <c r="L30" s="34"/>
      <c r="M30" s="34"/>
      <c r="N30" s="34"/>
    </row>
    <row r="31" spans="2:14" s="17" customFormat="1" ht="12.75">
      <c r="B31" s="18"/>
      <c r="C31" s="19" t="s">
        <v>79</v>
      </c>
      <c r="D31" s="35" t="s">
        <v>80</v>
      </c>
      <c r="E31" s="35"/>
      <c r="F31" s="35"/>
      <c r="G31" s="35"/>
      <c r="H31" s="35"/>
      <c r="I31" s="35"/>
      <c r="J31" s="35"/>
      <c r="K31" s="35"/>
      <c r="L31" s="35"/>
      <c r="M31" s="35"/>
      <c r="N31" s="35"/>
    </row>
    <row r="32" spans="2:14" ht="38.25">
      <c r="B32" s="20">
        <v>12</v>
      </c>
      <c r="C32" s="21" t="s">
        <v>81</v>
      </c>
      <c r="D32" s="22" t="s">
        <v>82</v>
      </c>
      <c r="E32" s="22" t="s">
        <v>83</v>
      </c>
      <c r="F32" s="23">
        <v>0.01</v>
      </c>
      <c r="G32" s="24">
        <v>1</v>
      </c>
      <c r="H32" s="25">
        <f>F32 * G32 * 19227.9588</f>
        <v>192.27958800000002</v>
      </c>
      <c r="I32" s="25">
        <f>F32 * G32 * 12674.744096</f>
        <v>126.74744096000001</v>
      </c>
      <c r="J32" s="25">
        <f>F32 * G32 * 0</f>
        <v>0</v>
      </c>
      <c r="K32" s="25">
        <f>F32 * G32 * 18305.016778</f>
        <v>183.05016778000001</v>
      </c>
      <c r="L32" s="25">
        <f>F32 * G32 * 5702.624356</f>
        <v>57.026243560000005</v>
      </c>
      <c r="M32" s="25">
        <f>F32 * G32 * 3845.59176</f>
        <v>38.455917599999999</v>
      </c>
      <c r="N32" s="26">
        <f>SUM(H32:M32)</f>
        <v>597.55935790000012</v>
      </c>
    </row>
    <row r="33" spans="2:14" ht="38.25">
      <c r="B33" s="20">
        <v>13</v>
      </c>
      <c r="C33" s="21" t="s">
        <v>84</v>
      </c>
      <c r="D33" s="22" t="s">
        <v>85</v>
      </c>
      <c r="E33" s="22" t="s">
        <v>83</v>
      </c>
      <c r="F33" s="23">
        <v>5.5E-2</v>
      </c>
      <c r="G33" s="24">
        <v>1</v>
      </c>
      <c r="H33" s="25">
        <f>F33 * G33 * 21229.8414</f>
        <v>1167.6412770000002</v>
      </c>
      <c r="I33" s="25">
        <f>F33 * G33 * 16269.558656</f>
        <v>894.82572607999998</v>
      </c>
      <c r="J33" s="25">
        <f>F33 * G33 * 0</f>
        <v>0</v>
      </c>
      <c r="K33" s="25">
        <f>F33 * G33 * 20210.809013</f>
        <v>1111.594495715</v>
      </c>
      <c r="L33" s="25">
        <f>F33 * G33 * 6536.376711</f>
        <v>359.50071910499997</v>
      </c>
      <c r="M33" s="25">
        <f>F33 * G33 * 4245.96828</f>
        <v>233.52825540000001</v>
      </c>
      <c r="N33" s="26">
        <f>SUM(H33:M33)</f>
        <v>3767.0904733000002</v>
      </c>
    </row>
    <row r="34" spans="2:14" ht="38.25">
      <c r="B34" s="20">
        <v>14</v>
      </c>
      <c r="C34" s="21" t="s">
        <v>86</v>
      </c>
      <c r="D34" s="22" t="s">
        <v>87</v>
      </c>
      <c r="E34" s="22" t="s">
        <v>83</v>
      </c>
      <c r="F34" s="23">
        <v>0.05</v>
      </c>
      <c r="G34" s="24">
        <v>1</v>
      </c>
      <c r="H34" s="25">
        <f>F34 * G34 * 28545.363</f>
        <v>1427.2681500000001</v>
      </c>
      <c r="I34" s="25">
        <f>F34 * G34 * 32786.421852</f>
        <v>1639.3210926000002</v>
      </c>
      <c r="J34" s="25">
        <f>F34 * G34 * 0</f>
        <v>0</v>
      </c>
      <c r="K34" s="25">
        <f>F34 * G34 * 27175.1855759999</f>
        <v>1358.7592787999952</v>
      </c>
      <c r="L34" s="25">
        <f>F34 * G34 * 9939.792539</f>
        <v>496.98962695</v>
      </c>
      <c r="M34" s="25">
        <f>F34 * G34 * 5709.0726</f>
        <v>285.45363000000003</v>
      </c>
      <c r="N34" s="26">
        <f>SUM(H34:M34)</f>
        <v>5207.7917783499961</v>
      </c>
    </row>
    <row r="35" spans="2:14" ht="38.25">
      <c r="B35" s="20">
        <v>15</v>
      </c>
      <c r="C35" s="21" t="s">
        <v>88</v>
      </c>
      <c r="D35" s="22" t="s">
        <v>89</v>
      </c>
      <c r="E35" s="22" t="s">
        <v>83</v>
      </c>
      <c r="F35" s="23">
        <v>0.01</v>
      </c>
      <c r="G35" s="24">
        <v>1</v>
      </c>
      <c r="H35" s="25">
        <f>F35 * G35 * 33339.9954</f>
        <v>333.39995399999998</v>
      </c>
      <c r="I35" s="25">
        <f>F35 * G35 * 43202.255002</f>
        <v>432.02255001999998</v>
      </c>
      <c r="J35" s="25">
        <f>F35 * G35 * 0</f>
        <v>0</v>
      </c>
      <c r="K35" s="25">
        <f>F35 * G35 * 31739.675621</f>
        <v>317.39675620999998</v>
      </c>
      <c r="L35" s="25">
        <f>F35 * G35 * 12127.217099</f>
        <v>121.27217098999999</v>
      </c>
      <c r="M35" s="25">
        <f>F35 * G35 * 6667.99908</f>
        <v>66.679990799999999</v>
      </c>
      <c r="N35" s="26">
        <f>SUM(H35:M35)</f>
        <v>1270.7714220199998</v>
      </c>
    </row>
    <row r="36" spans="2:14" s="17" customFormat="1" ht="12.75">
      <c r="B36" s="18"/>
      <c r="C36" s="19" t="s">
        <v>90</v>
      </c>
      <c r="D36" s="35" t="s">
        <v>91</v>
      </c>
      <c r="E36" s="35"/>
      <c r="F36" s="35"/>
      <c r="G36" s="35"/>
      <c r="H36" s="35"/>
      <c r="I36" s="35"/>
      <c r="J36" s="35"/>
      <c r="K36" s="35"/>
      <c r="L36" s="35"/>
      <c r="M36" s="35"/>
      <c r="N36" s="35"/>
    </row>
    <row r="37" spans="2:14" ht="38.25">
      <c r="B37" s="20">
        <v>16</v>
      </c>
      <c r="C37" s="21" t="s">
        <v>92</v>
      </c>
      <c r="D37" s="22" t="s">
        <v>93</v>
      </c>
      <c r="E37" s="22" t="s">
        <v>94</v>
      </c>
      <c r="F37" s="23">
        <v>0.01</v>
      </c>
      <c r="G37" s="24">
        <v>1</v>
      </c>
      <c r="H37" s="25">
        <f>F37 * G37 * 8951.928</f>
        <v>89.519279999999995</v>
      </c>
      <c r="I37" s="25">
        <f>F37 * G37 * 32848.688063</f>
        <v>328.48688063000003</v>
      </c>
      <c r="J37" s="25">
        <f>F37 * G37 * 0</f>
        <v>0</v>
      </c>
      <c r="K37" s="25">
        <f>F37 * G37 * 8522.235456</f>
        <v>85.222354559999999</v>
      </c>
      <c r="L37" s="25">
        <f>F37 * G37 * 5497.946516</f>
        <v>54.979465160000004</v>
      </c>
      <c r="M37" s="25">
        <f>F37 * G37 * 1790.3856</f>
        <v>17.903856000000001</v>
      </c>
      <c r="N37" s="26">
        <f>SUM(H37:M37)</f>
        <v>576.11183634999998</v>
      </c>
    </row>
    <row r="38" spans="2:14" s="17" customFormat="1" ht="12.75">
      <c r="B38" s="18"/>
      <c r="C38" s="19" t="s">
        <v>95</v>
      </c>
      <c r="D38" s="34" t="s">
        <v>96</v>
      </c>
      <c r="E38" s="34"/>
      <c r="F38" s="34"/>
      <c r="G38" s="34"/>
      <c r="H38" s="34"/>
      <c r="I38" s="34"/>
      <c r="J38" s="34"/>
      <c r="K38" s="34"/>
      <c r="L38" s="34"/>
      <c r="M38" s="34"/>
      <c r="N38" s="34"/>
    </row>
    <row r="39" spans="2:14" ht="25.5">
      <c r="B39" s="20">
        <v>17</v>
      </c>
      <c r="C39" s="21" t="s">
        <v>97</v>
      </c>
      <c r="D39" s="22" t="s">
        <v>98</v>
      </c>
      <c r="E39" s="22" t="s">
        <v>99</v>
      </c>
      <c r="F39" s="23">
        <v>0.04</v>
      </c>
      <c r="G39" s="24">
        <v>1</v>
      </c>
      <c r="H39" s="25">
        <f>F39 * G39 * 20853.288</f>
        <v>834.13152000000002</v>
      </c>
      <c r="I39" s="25">
        <f>F39 * G39 * 14281.888527</f>
        <v>571.27554107999993</v>
      </c>
      <c r="J39" s="25">
        <f>F39 * G39 * 0</f>
        <v>0</v>
      </c>
      <c r="K39" s="25">
        <f>F39 * G39 * 19852.330176</f>
        <v>794.09320704000004</v>
      </c>
      <c r="L39" s="25">
        <f>F39 * G39 * 6241.186334</f>
        <v>249.64745336000001</v>
      </c>
      <c r="M39" s="25">
        <f>F39 * G39 * 4170.6576</f>
        <v>166.82630399999999</v>
      </c>
      <c r="N39" s="26">
        <f>SUM(H39:M39)</f>
        <v>2615.9740254799999</v>
      </c>
    </row>
    <row r="40" spans="2:14" ht="25.5">
      <c r="B40" s="20">
        <v>18</v>
      </c>
      <c r="C40" s="21" t="s">
        <v>100</v>
      </c>
      <c r="D40" s="22" t="s">
        <v>101</v>
      </c>
      <c r="E40" s="22" t="s">
        <v>99</v>
      </c>
      <c r="F40" s="23">
        <v>0.02</v>
      </c>
      <c r="G40" s="24">
        <v>1</v>
      </c>
      <c r="H40" s="25">
        <f>F40 * G40 * 34240.584</f>
        <v>684.81168000000002</v>
      </c>
      <c r="I40" s="25">
        <f>F40 * G40 * 82210.102577</f>
        <v>1644.20205154</v>
      </c>
      <c r="J40" s="25">
        <f>F40 * G40 * 0</f>
        <v>0</v>
      </c>
      <c r="K40" s="25">
        <f>F40 * G40 * 32597.035968</f>
        <v>651.94071936</v>
      </c>
      <c r="L40" s="25">
        <f>F40 * G40 * 16447.011051</f>
        <v>328.94022102000002</v>
      </c>
      <c r="M40" s="25">
        <f>F40 * G40 * 6848.1168</f>
        <v>136.96233599999999</v>
      </c>
      <c r="N40" s="26">
        <f>SUM(H40:M40)</f>
        <v>3446.8570079199999</v>
      </c>
    </row>
    <row r="41" spans="2:14">
      <c r="B41" s="20">
        <v>19</v>
      </c>
      <c r="C41" s="21" t="s">
        <v>102</v>
      </c>
      <c r="D41" s="22" t="s">
        <v>103</v>
      </c>
      <c r="E41" s="22" t="s">
        <v>99</v>
      </c>
      <c r="F41" s="23">
        <v>0.01</v>
      </c>
      <c r="G41" s="24">
        <v>1</v>
      </c>
      <c r="H41" s="25">
        <f>F41 * G41 * 108643.056</f>
        <v>1086.43056</v>
      </c>
      <c r="I41" s="25">
        <f>F41 * G41 * 413629.447932</f>
        <v>4136.2944793199995</v>
      </c>
      <c r="J41" s="25">
        <f>F41 * G41 * 0</f>
        <v>0</v>
      </c>
      <c r="K41" s="25">
        <f>F41 * G41 * 103428.189312</f>
        <v>1034.2818931199999</v>
      </c>
      <c r="L41" s="25">
        <f>F41 * G41 * 68303.791619</f>
        <v>683.03791618999992</v>
      </c>
      <c r="M41" s="25">
        <f>F41 * G41 * 21728.6112</f>
        <v>217.286112</v>
      </c>
      <c r="N41" s="26">
        <f>SUM(H41:M41)</f>
        <v>7157.330960629999</v>
      </c>
    </row>
    <row r="42" spans="2:14" s="14" customFormat="1" ht="15">
      <c r="B42" s="15"/>
      <c r="C42" s="16" t="s">
        <v>104</v>
      </c>
      <c r="D42" s="33" t="s">
        <v>105</v>
      </c>
      <c r="E42" s="33"/>
      <c r="F42" s="33"/>
      <c r="G42" s="33"/>
      <c r="H42" s="33"/>
      <c r="I42" s="33"/>
      <c r="J42" s="33"/>
      <c r="K42" s="33"/>
      <c r="L42" s="33"/>
      <c r="M42" s="33"/>
      <c r="N42" s="33"/>
    </row>
    <row r="43" spans="2:14" s="17" customFormat="1" ht="12.75">
      <c r="B43" s="18"/>
      <c r="C43" s="19" t="s">
        <v>106</v>
      </c>
      <c r="D43" s="34" t="s">
        <v>107</v>
      </c>
      <c r="E43" s="34"/>
      <c r="F43" s="34"/>
      <c r="G43" s="34"/>
      <c r="H43" s="34"/>
      <c r="I43" s="34"/>
      <c r="J43" s="34"/>
      <c r="K43" s="34"/>
      <c r="L43" s="34"/>
      <c r="M43" s="34"/>
      <c r="N43" s="34"/>
    </row>
    <row r="44" spans="2:14">
      <c r="B44" s="20">
        <v>20</v>
      </c>
      <c r="C44" s="21" t="s">
        <v>108</v>
      </c>
      <c r="D44" s="22" t="s">
        <v>109</v>
      </c>
      <c r="E44" s="22" t="s">
        <v>110</v>
      </c>
      <c r="F44" s="23">
        <v>0.1</v>
      </c>
      <c r="G44" s="24">
        <v>1</v>
      </c>
      <c r="H44" s="25">
        <f>F44 * G44 * 3363.0216</f>
        <v>336.30216000000001</v>
      </c>
      <c r="I44" s="25">
        <f>F44 * G44 * 1251.54</f>
        <v>125.154</v>
      </c>
      <c r="J44" s="25">
        <f>F44 * G44 * 0</f>
        <v>0</v>
      </c>
      <c r="K44" s="25">
        <f>F44 * G44 * 3201.596563</f>
        <v>320.15965630000005</v>
      </c>
      <c r="L44" s="25">
        <f>F44 * G44 * 895.564442</f>
        <v>89.556444200000001</v>
      </c>
      <c r="M44" s="25">
        <f>F44 * G44 * 672.60432</f>
        <v>67.260432000000009</v>
      </c>
      <c r="N44" s="26">
        <f>SUM(H44:M44)</f>
        <v>938.43269250000003</v>
      </c>
    </row>
    <row r="45" spans="2:14" s="14" customFormat="1" ht="15">
      <c r="B45" s="15"/>
      <c r="C45" s="16" t="s">
        <v>111</v>
      </c>
      <c r="D45" s="33" t="s">
        <v>112</v>
      </c>
      <c r="E45" s="33"/>
      <c r="F45" s="33"/>
      <c r="G45" s="33"/>
      <c r="H45" s="33"/>
      <c r="I45" s="33"/>
      <c r="J45" s="33"/>
      <c r="K45" s="33"/>
      <c r="L45" s="33"/>
      <c r="M45" s="33"/>
      <c r="N45" s="33"/>
    </row>
    <row r="46" spans="2:14" s="17" customFormat="1" ht="12.75">
      <c r="B46" s="18"/>
      <c r="C46" s="19" t="s">
        <v>113</v>
      </c>
      <c r="D46" s="34" t="s">
        <v>114</v>
      </c>
      <c r="E46" s="34"/>
      <c r="F46" s="34"/>
      <c r="G46" s="34"/>
      <c r="H46" s="34"/>
      <c r="I46" s="34"/>
      <c r="J46" s="34"/>
      <c r="K46" s="34"/>
      <c r="L46" s="34"/>
      <c r="M46" s="34"/>
      <c r="N46" s="34"/>
    </row>
    <row r="47" spans="2:14" s="17" customFormat="1" ht="12.75">
      <c r="B47" s="18"/>
      <c r="C47" s="19" t="s">
        <v>115</v>
      </c>
      <c r="D47" s="35" t="s">
        <v>116</v>
      </c>
      <c r="E47" s="35"/>
      <c r="F47" s="35"/>
      <c r="G47" s="35"/>
      <c r="H47" s="35"/>
      <c r="I47" s="35"/>
      <c r="J47" s="35"/>
      <c r="K47" s="35"/>
      <c r="L47" s="35"/>
      <c r="M47" s="35"/>
      <c r="N47" s="35"/>
    </row>
    <row r="48" spans="2:14" ht="25.5">
      <c r="B48" s="20">
        <v>21</v>
      </c>
      <c r="C48" s="21" t="s">
        <v>117</v>
      </c>
      <c r="D48" s="22" t="s">
        <v>118</v>
      </c>
      <c r="E48" s="22" t="s">
        <v>119</v>
      </c>
      <c r="F48" s="23">
        <v>28.8</v>
      </c>
      <c r="G48" s="24">
        <v>1</v>
      </c>
      <c r="H48" s="25">
        <f>F48 * G48 * 950.793</f>
        <v>27382.838400000001</v>
      </c>
      <c r="I48" s="25">
        <f>F48 * G48 * 7.170829</f>
        <v>206.5198752</v>
      </c>
      <c r="J48" s="25">
        <f>F48 * G48 * 0</f>
        <v>0</v>
      </c>
      <c r="K48" s="25">
        <f>F48 * G48 * 905.154935999999</f>
        <v>26068.462156799971</v>
      </c>
      <c r="L48" s="25">
        <f>F48 * G48 * 216.620762</f>
        <v>6238.6779456000004</v>
      </c>
      <c r="M48" s="25">
        <f>F48 * G48 * 190.1586</f>
        <v>5476.5676800000001</v>
      </c>
      <c r="N48" s="26">
        <f>SUM(H48:M48)</f>
        <v>65373.066057599972</v>
      </c>
    </row>
    <row r="49" spans="2:14" ht="25.5">
      <c r="B49" s="20">
        <v>22</v>
      </c>
      <c r="C49" s="21" t="s">
        <v>120</v>
      </c>
      <c r="D49" s="22" t="s">
        <v>121</v>
      </c>
      <c r="E49" s="22" t="s">
        <v>119</v>
      </c>
      <c r="F49" s="23">
        <v>28.8</v>
      </c>
      <c r="G49" s="24">
        <v>1</v>
      </c>
      <c r="H49" s="25">
        <f>F49 * G49 * 400.009997</f>
        <v>11520.287913600001</v>
      </c>
      <c r="I49" s="25">
        <f>F49 * G49 * 0</f>
        <v>0</v>
      </c>
      <c r="J49" s="25">
        <f>F49 * G49 * 68.046825</f>
        <v>1959.74856</v>
      </c>
      <c r="K49" s="25">
        <f>F49 * G49 * 380.809517</f>
        <v>10967.3140896</v>
      </c>
      <c r="L49" s="25">
        <f>F49 * G49 * 97.99561</f>
        <v>2822.2735680000001</v>
      </c>
      <c r="M49" s="25">
        <f>F49 * G49 * 80.001999</f>
        <v>2304.0575712</v>
      </c>
      <c r="N49" s="26">
        <f>SUM(H49:M49)</f>
        <v>29573.681702400001</v>
      </c>
    </row>
    <row r="50" spans="2:14" s="17" customFormat="1" ht="12.75">
      <c r="B50" s="18"/>
      <c r="C50" s="19" t="s">
        <v>122</v>
      </c>
      <c r="D50" s="35" t="s">
        <v>123</v>
      </c>
      <c r="E50" s="35"/>
      <c r="F50" s="35"/>
      <c r="G50" s="35"/>
      <c r="H50" s="35"/>
      <c r="I50" s="35"/>
      <c r="J50" s="35"/>
      <c r="K50" s="35"/>
      <c r="L50" s="35"/>
      <c r="M50" s="35"/>
      <c r="N50" s="35"/>
    </row>
    <row r="51" spans="2:14" ht="25.5">
      <c r="B51" s="20">
        <v>23</v>
      </c>
      <c r="C51" s="21" t="s">
        <v>124</v>
      </c>
      <c r="D51" s="22" t="s">
        <v>125</v>
      </c>
      <c r="E51" s="22" t="s">
        <v>126</v>
      </c>
      <c r="F51" s="23">
        <v>86.4</v>
      </c>
      <c r="G51" s="24">
        <v>1</v>
      </c>
      <c r="H51" s="25">
        <f>F51 * G51 * 223.97976</f>
        <v>19351.851264000001</v>
      </c>
      <c r="I51" s="25">
        <f>F51 * G51 * 0</f>
        <v>0</v>
      </c>
      <c r="J51" s="25">
        <f>F51 * G51 * 0</f>
        <v>0</v>
      </c>
      <c r="K51" s="25">
        <f>F51 * G51 * 213.228732</f>
        <v>18422.962444800003</v>
      </c>
      <c r="L51" s="25">
        <f>F51 * G51 * 50.8514689999999</f>
        <v>4393.5669215999915</v>
      </c>
      <c r="M51" s="25">
        <f>F51 * G51 * 44.795952</f>
        <v>3870.3702528000003</v>
      </c>
      <c r="N51" s="26">
        <f>SUM(H51:M51)</f>
        <v>46038.750883200002</v>
      </c>
    </row>
    <row r="52" spans="2:14" s="17" customFormat="1" ht="12.75">
      <c r="B52" s="18"/>
      <c r="C52" s="19" t="s">
        <v>127</v>
      </c>
      <c r="D52" s="35" t="s">
        <v>128</v>
      </c>
      <c r="E52" s="35"/>
      <c r="F52" s="35"/>
      <c r="G52" s="35"/>
      <c r="H52" s="35"/>
      <c r="I52" s="35"/>
      <c r="J52" s="35"/>
      <c r="K52" s="35"/>
      <c r="L52" s="35"/>
      <c r="M52" s="35"/>
      <c r="N52" s="35"/>
    </row>
    <row r="53" spans="2:14" s="17" customFormat="1" ht="12.75">
      <c r="B53" s="18"/>
      <c r="C53" s="19" t="s">
        <v>129</v>
      </c>
      <c r="D53" s="36" t="s">
        <v>130</v>
      </c>
      <c r="E53" s="36"/>
      <c r="F53" s="36"/>
      <c r="G53" s="36"/>
      <c r="H53" s="36"/>
      <c r="I53" s="36"/>
      <c r="J53" s="36"/>
      <c r="K53" s="36"/>
      <c r="L53" s="36"/>
      <c r="M53" s="36"/>
      <c r="N53" s="36"/>
    </row>
    <row r="54" spans="2:14" ht="25.5">
      <c r="B54" s="20">
        <v>24</v>
      </c>
      <c r="C54" s="21" t="s">
        <v>131</v>
      </c>
      <c r="D54" s="22" t="s">
        <v>132</v>
      </c>
      <c r="E54" s="22" t="s">
        <v>133</v>
      </c>
      <c r="F54" s="23">
        <v>0.11</v>
      </c>
      <c r="G54" s="24">
        <v>1</v>
      </c>
      <c r="H54" s="25">
        <f>F54 * G54 * 13548.864</f>
        <v>1490.3750399999999</v>
      </c>
      <c r="I54" s="25">
        <f>F54 * G54 * 0</f>
        <v>0</v>
      </c>
      <c r="J54" s="25">
        <f>F54 * G54 * 0</f>
        <v>0</v>
      </c>
      <c r="K54" s="25">
        <f>F54 * G54 * 12898.518528</f>
        <v>1418.83703808</v>
      </c>
      <c r="L54" s="25">
        <f>F54 * G54 * 3076.079887</f>
        <v>338.36878756999999</v>
      </c>
      <c r="M54" s="25">
        <f>F54 * G54 * 2709.7728</f>
        <v>298.07500800000003</v>
      </c>
      <c r="N54" s="26">
        <f>SUM(H54:M54)</f>
        <v>3545.6558736499992</v>
      </c>
    </row>
    <row r="55" spans="2:14" s="27" customFormat="1" ht="20.100000000000001" customHeight="1">
      <c r="B55" s="37" t="s">
        <v>134</v>
      </c>
      <c r="C55" s="37"/>
      <c r="D55" s="37"/>
      <c r="E55" s="37"/>
      <c r="F55" s="37"/>
      <c r="G55" s="37"/>
      <c r="H55" s="28">
        <f t="shared" ref="H55:N55" si="0">SUM(H4:H54)</f>
        <v>106755.17185859999</v>
      </c>
      <c r="I55" s="28">
        <f t="shared" si="0"/>
        <v>23592.061752249996</v>
      </c>
      <c r="J55" s="28">
        <f t="shared" si="0"/>
        <v>1970.0051679000001</v>
      </c>
      <c r="K55" s="28">
        <f t="shared" si="0"/>
        <v>101639.26429211494</v>
      </c>
      <c r="L55" s="28">
        <f t="shared" si="0"/>
        <v>26935.130085574991</v>
      </c>
      <c r="M55" s="28">
        <f t="shared" si="0"/>
        <v>21352.786596449998</v>
      </c>
      <c r="N55" s="29">
        <f t="shared" si="0"/>
        <v>282244.41975288995</v>
      </c>
    </row>
  </sheetData>
  <mergeCells count="31">
    <mergeCell ref="B55:G55"/>
    <mergeCell ref="D46:N46"/>
    <mergeCell ref="D47:N47"/>
    <mergeCell ref="D50:N50"/>
    <mergeCell ref="D52:N52"/>
    <mergeCell ref="D53:N53"/>
    <mergeCell ref="D36:N36"/>
    <mergeCell ref="D38:N38"/>
    <mergeCell ref="D42:N42"/>
    <mergeCell ref="D43:N43"/>
    <mergeCell ref="D45:N45"/>
    <mergeCell ref="D26:N26"/>
    <mergeCell ref="D27:N27"/>
    <mergeCell ref="D29:N29"/>
    <mergeCell ref="D30:N30"/>
    <mergeCell ref="D31:N31"/>
    <mergeCell ref="D18:N18"/>
    <mergeCell ref="D19:N19"/>
    <mergeCell ref="D21:N21"/>
    <mergeCell ref="D23:N23"/>
    <mergeCell ref="D24:N24"/>
    <mergeCell ref="D6:N6"/>
    <mergeCell ref="D9:N9"/>
    <mergeCell ref="D11:N11"/>
    <mergeCell ref="D15:N15"/>
    <mergeCell ref="D16:N16"/>
    <mergeCell ref="B2:K3"/>
    <mergeCell ref="L2:M2"/>
    <mergeCell ref="L3:M3"/>
    <mergeCell ref="D4:N4"/>
    <mergeCell ref="D5:N5"/>
  </mergeCells>
  <pageMargins left="0.7" right="0.7" top="0.75" bottom="0.75" header="0.3" footer="0.3"/>
  <pageSetup paperSize="9" scale="61" fitToHeight="0" orientation="landscape" horizontalDpi="4294967295" verticalDpi="4294967295" r:id="rId1"/>
  <headerFooter>
    <oddHeader>&amp;C&amp;KCCCCCC&amp;"Arial"Бундурина 36</oddHeader>
    <oddFooter>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Бундурина 36</dc:title>
  <dc:creator/>
  <cp:lastModifiedBy/>
  <cp:lastPrinted>2022-03-21T13:28:35Z</cp:lastPrinted>
  <dcterms:created xsi:type="dcterms:W3CDTF">2022-03-21T13:28:35Z</dcterms:created>
  <dcterms:modified xsi:type="dcterms:W3CDTF">2022-03-21T13:30:34Z</dcterms:modified>
</cp:coreProperties>
</file>