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/>
  <bookViews>
    <workbookView xWindow="360" yWindow="810" windowWidth="19575" windowHeight="7080"/>
  </bookViews>
  <sheets>
    <sheet name="Смета" sheetId="1" r:id="rId1"/>
  </sheets>
  <definedNames>
    <definedName name="_xlnm.Print_Titles" localSheetId="0">Смета!$1:$1</definedName>
  </definedNames>
  <calcPr calcId="124519"/>
</workbook>
</file>

<file path=xl/calcChain.xml><?xml version="1.0" encoding="utf-8"?>
<calcChain xmlns="http://schemas.openxmlformats.org/spreadsheetml/2006/main">
  <c r="M22" i="1"/>
  <c r="L22"/>
  <c r="K22"/>
  <c r="J22"/>
  <c r="I22"/>
  <c r="H22"/>
  <c r="N22" s="1"/>
  <c r="M19"/>
  <c r="L19"/>
  <c r="K19"/>
  <c r="J19"/>
  <c r="I19"/>
  <c r="H19"/>
  <c r="N19" s="1"/>
  <c r="M17"/>
  <c r="L17"/>
  <c r="K17"/>
  <c r="J17"/>
  <c r="I17"/>
  <c r="H17"/>
  <c r="N17" s="1"/>
  <c r="M16"/>
  <c r="L16"/>
  <c r="K16"/>
  <c r="J16"/>
  <c r="J23" s="1"/>
  <c r="I16"/>
  <c r="H16"/>
  <c r="M12"/>
  <c r="L12"/>
  <c r="K12"/>
  <c r="J12"/>
  <c r="I12"/>
  <c r="H12"/>
  <c r="N12" s="1"/>
  <c r="M10"/>
  <c r="L10"/>
  <c r="K10"/>
  <c r="J10"/>
  <c r="I10"/>
  <c r="H10"/>
  <c r="N10" s="1"/>
  <c r="M7"/>
  <c r="M23" s="1"/>
  <c r="L7"/>
  <c r="L23" s="1"/>
  <c r="K7"/>
  <c r="K23" s="1"/>
  <c r="J7"/>
  <c r="I7"/>
  <c r="I23" s="1"/>
  <c r="H7"/>
  <c r="H23" s="1"/>
  <c r="N16" l="1"/>
  <c r="N7"/>
  <c r="N23" s="1"/>
</calcChain>
</file>

<file path=xl/sharedStrings.xml><?xml version="1.0" encoding="utf-8"?>
<sst xmlns="http://schemas.openxmlformats.org/spreadsheetml/2006/main" count="65" uniqueCount="62">
  <si>
    <t/>
  </si>
  <si>
    <t>№ ПП</t>
  </si>
  <si>
    <t>КОД</t>
  </si>
  <si>
    <t>НАЗВАНИЕ РАБОТЫ</t>
  </si>
  <si>
    <t>ИЗМЕРИТЕЛЬ</t>
  </si>
  <si>
    <t>КОЛ-ВО ЕД. ИЗМ.</t>
  </si>
  <si>
    <t>ПЕРИОДИЧ- НОСТЬ В ГОД</t>
  </si>
  <si>
    <t>ТРУД. РЕСУРСЫ, РУБ.</t>
  </si>
  <si>
    <t>МАТЕР. РЕСУРСЫ, РУБ.</t>
  </si>
  <si>
    <t>МАШ. МЕХ., РУБ.</t>
  </si>
  <si>
    <t>НАКЛ. РАСХОДЫ, РУБ.</t>
  </si>
  <si>
    <t>ПРИБЫЛЬ, РУБ.</t>
  </si>
  <si>
    <t>РАСХОДЫ НА УПРАВ., РУБ.</t>
  </si>
  <si>
    <t>СТОИМОСТЬ, РУБ.</t>
  </si>
  <si>
    <t>Бундурина 62</t>
  </si>
  <si>
    <t>Дата изменения:</t>
  </si>
  <si>
    <t>21.03.2022</t>
  </si>
  <si>
    <t>Общая площадь, кв.м:</t>
  </si>
  <si>
    <t>2.1</t>
  </si>
  <si>
    <t>Система теплоснабжения</t>
  </si>
  <si>
    <t>2.1.2</t>
  </si>
  <si>
    <t>Ремонт,  модернизация внутридомовых отопительных сетей</t>
  </si>
  <si>
    <t>2.1.2.1</t>
  </si>
  <si>
    <t>Смена отдельных участков трубопроводов из стальных водогазопроводных неоцинкованных труб на резьбе</t>
  </si>
  <si>
    <t>2.1.2.1.2</t>
  </si>
  <si>
    <t>Смена отдельных участков трубопроводов из стальных водогазопроводных неоцинкованных труб диаметром 20 мм</t>
  </si>
  <si>
    <t>100 м трубопровода</t>
  </si>
  <si>
    <t>2.2</t>
  </si>
  <si>
    <t>Системы холодного и горячего водоснабжения</t>
  </si>
  <si>
    <t>2.2.6</t>
  </si>
  <si>
    <t>Ремонт оборудования, приборов и арматуры водопроводной сети общего пользования</t>
  </si>
  <si>
    <t>2.2.6.1</t>
  </si>
  <si>
    <t>Смена вентилей и клапанов обратных муфтовых диаметром до 20 мм</t>
  </si>
  <si>
    <t>100 шт.</t>
  </si>
  <si>
    <t>2.3</t>
  </si>
  <si>
    <t>Система водоотведения</t>
  </si>
  <si>
    <t>2.3.4</t>
  </si>
  <si>
    <t>Устранение засоров внутренних канализационных трубопроводов</t>
  </si>
  <si>
    <t>100 м трубы</t>
  </si>
  <si>
    <t>2.6</t>
  </si>
  <si>
    <t>Подготовка многоквартирного дома к сезонной эксплуатации, проведение технических осмотров</t>
  </si>
  <si>
    <t>2.6.14</t>
  </si>
  <si>
    <t>Проведение технических осмотров и устранение незначительных неисправностей в  системе   теплоснабжения</t>
  </si>
  <si>
    <t>2.6.14.3</t>
  </si>
  <si>
    <t>Гидравлическое испытание трубопроводов систем центрального отопления (расконсервация)</t>
  </si>
  <si>
    <t>2.6.14.3.2</t>
  </si>
  <si>
    <t>Рабочая проверка системы в целом при диаметре трубопровода до 50 мм</t>
  </si>
  <si>
    <t>2.6.14.3.3</t>
  </si>
  <si>
    <t>Окончательная проверка при сдаче системы при диаметре трубопровода до 50 мм</t>
  </si>
  <si>
    <t>2.6.14.4</t>
  </si>
  <si>
    <t>Промывка трубопроводов системы центрального отопления</t>
  </si>
  <si>
    <t>2.6.14.4.1</t>
  </si>
  <si>
    <t>Промывка трубопроводов системы центрального отопления до 50 мм</t>
  </si>
  <si>
    <t>10 м трубопровода (100 м3 здания)</t>
  </si>
  <si>
    <t>3.1</t>
  </si>
  <si>
    <t>Работы по санитарному содержанию помещений общего пользования, системы мусороудаления и фасадов</t>
  </si>
  <si>
    <t>3.1.13</t>
  </si>
  <si>
    <t>Содержание и ремонт информационных щитов</t>
  </si>
  <si>
    <t>3.1.13.2</t>
  </si>
  <si>
    <t>Замена полотна из металла информационного щита</t>
  </si>
  <si>
    <t>щит</t>
  </si>
  <si>
    <t>ИТОГО:</t>
  </si>
</sst>
</file>

<file path=xl/styles.xml><?xml version="1.0" encoding="utf-8"?>
<styleSheet xmlns="http://schemas.openxmlformats.org/spreadsheetml/2006/main">
  <numFmts count="1">
    <numFmt numFmtId="164" formatCode="#\ ###\ ##0.00"/>
  </numFmts>
  <fonts count="11">
    <font>
      <sz val="11"/>
      <color theme="1"/>
      <name val="Calibri"/>
      <family val="2"/>
      <scheme val="minor"/>
    </font>
    <font>
      <sz val="9"/>
      <name val="Calibri"/>
      <family val="2"/>
      <charset val="204"/>
    </font>
    <font>
      <sz val="10"/>
      <name val="Calibri"/>
      <family val="2"/>
      <charset val="204"/>
    </font>
    <font>
      <sz val="12"/>
      <name val="Calibri"/>
      <family val="2"/>
      <charset val="204"/>
    </font>
    <font>
      <b/>
      <sz val="9"/>
      <color rgb="FFFFFFFF"/>
      <name val="Calibri"/>
      <family val="2"/>
      <charset val="204"/>
    </font>
    <font>
      <b/>
      <sz val="18"/>
      <color rgb="FF000099"/>
      <name val="Calibri"/>
      <family val="2"/>
      <charset val="204"/>
    </font>
    <font>
      <i/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0"/>
      <color rgb="FF707070"/>
      <name val="Calibri"/>
      <family val="2"/>
      <charset val="204"/>
    </font>
    <font>
      <b/>
      <sz val="11"/>
      <color rgb="FFFFFFFF"/>
      <name val="Calibri"/>
      <family val="2"/>
      <charset val="204"/>
    </font>
    <font>
      <b/>
      <sz val="10"/>
      <color rgb="FFFFFFFF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546E7A"/>
      </patternFill>
    </fill>
    <fill>
      <patternFill patternType="solid">
        <fgColor rgb="FFDCE6F1"/>
      </patternFill>
    </fill>
    <fill>
      <patternFill patternType="solid">
        <fgColor rgb="FFF2F2F2"/>
      </patternFill>
    </fill>
    <fill>
      <patternFill patternType="solid">
        <fgColor rgb="FFF9F7ED"/>
      </patternFill>
    </fill>
    <fill>
      <patternFill patternType="solid">
        <fgColor rgb="FFF5F2E0"/>
      </patternFill>
    </fill>
    <fill>
      <patternFill patternType="solid">
        <fgColor rgb="FFEBF1DE"/>
      </patternFill>
    </fill>
  </fills>
  <borders count="12">
    <border>
      <left/>
      <right/>
      <top/>
      <bottom/>
      <diagonal/>
    </border>
    <border>
      <left style="thick">
        <color rgb="FF000000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center" vertical="top" wrapText="1" indent="1"/>
    </xf>
    <xf numFmtId="49" fontId="2" fillId="0" borderId="0" xfId="0" applyNumberFormat="1" applyFont="1" applyAlignment="1">
      <alignment horizontal="left" vertical="top" wrapText="1" inden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indent="1"/>
    </xf>
    <xf numFmtId="164" fontId="2" fillId="0" borderId="0" xfId="0" applyNumberFormat="1" applyFont="1" applyAlignment="1">
      <alignment horizontal="right" vertical="top" indent="1"/>
    </xf>
    <xf numFmtId="0" fontId="4" fillId="0" borderId="0" xfId="0" applyFont="1" applyAlignment="1">
      <alignment horizontal="center" vertical="center" wrapText="1" indent="1"/>
    </xf>
    <xf numFmtId="0" fontId="4" fillId="2" borderId="1" xfId="0" applyFont="1" applyFill="1" applyBorder="1" applyAlignment="1">
      <alignment horizontal="center" vertical="center" wrapText="1" indent="1"/>
    </xf>
    <xf numFmtId="49" fontId="4" fillId="2" borderId="2" xfId="0" applyNumberFormat="1" applyFont="1" applyFill="1" applyBorder="1" applyAlignment="1">
      <alignment horizontal="center" vertical="center" wrapText="1" indent="1"/>
    </xf>
    <xf numFmtId="0" fontId="4" fillId="2" borderId="2" xfId="0" applyFont="1" applyFill="1" applyBorder="1" applyAlignment="1">
      <alignment horizontal="center" vertical="center" wrapText="1" indent="1"/>
    </xf>
    <xf numFmtId="164" fontId="4" fillId="2" borderId="2" xfId="0" applyNumberFormat="1" applyFont="1" applyFill="1" applyBorder="1" applyAlignment="1">
      <alignment horizontal="center" vertical="center" wrapText="1" indent="1"/>
    </xf>
    <xf numFmtId="164" fontId="4" fillId="2" borderId="3" xfId="0" applyNumberFormat="1" applyFont="1" applyFill="1" applyBorder="1" applyAlignment="1">
      <alignment horizontal="center" vertical="center" wrapText="1" indent="1"/>
    </xf>
    <xf numFmtId="0" fontId="6" fillId="0" borderId="6" xfId="0" applyFont="1" applyBorder="1" applyAlignment="1">
      <alignment horizontal="left" indent="1"/>
    </xf>
    <xf numFmtId="164" fontId="6" fillId="0" borderId="8" xfId="0" applyNumberFormat="1" applyFont="1" applyBorder="1" applyAlignment="1">
      <alignment horizontal="left" indent="1"/>
    </xf>
    <xf numFmtId="0" fontId="7" fillId="0" borderId="0" xfId="0" applyFont="1"/>
    <xf numFmtId="0" fontId="7" fillId="3" borderId="9" xfId="0" applyFont="1" applyFill="1" applyBorder="1" applyAlignment="1">
      <alignment horizontal="center" vertical="top" wrapText="1" indent="1"/>
    </xf>
    <xf numFmtId="49" fontId="7" fillId="3" borderId="10" xfId="0" applyNumberFormat="1" applyFont="1" applyFill="1" applyBorder="1" applyAlignment="1">
      <alignment horizontal="left" vertical="top" wrapText="1" indent="1"/>
    </xf>
    <xf numFmtId="0" fontId="8" fillId="0" borderId="0" xfId="0" applyFont="1"/>
    <xf numFmtId="0" fontId="8" fillId="4" borderId="9" xfId="0" applyFont="1" applyFill="1" applyBorder="1" applyAlignment="1">
      <alignment horizontal="center" vertical="top" wrapText="1" indent="1"/>
    </xf>
    <xf numFmtId="49" fontId="8" fillId="4" borderId="10" xfId="0" applyNumberFormat="1" applyFont="1" applyFill="1" applyBorder="1" applyAlignment="1">
      <alignment horizontal="left" vertical="top" wrapText="1" indent="1"/>
    </xf>
    <xf numFmtId="0" fontId="1" fillId="0" borderId="9" xfId="0" applyFont="1" applyBorder="1" applyAlignment="1">
      <alignment horizontal="center" vertical="top" wrapText="1" indent="1"/>
    </xf>
    <xf numFmtId="49" fontId="2" fillId="0" borderId="10" xfId="0" applyNumberFormat="1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/>
    </xf>
    <xf numFmtId="0" fontId="3" fillId="5" borderId="10" xfId="0" applyFont="1" applyFill="1" applyBorder="1" applyAlignment="1">
      <alignment horizontal="right" vertical="top" indent="1"/>
    </xf>
    <xf numFmtId="0" fontId="3" fillId="6" borderId="10" xfId="0" applyFont="1" applyFill="1" applyBorder="1" applyAlignment="1">
      <alignment horizontal="right" vertical="top" indent="1"/>
    </xf>
    <xf numFmtId="164" fontId="2" fillId="0" borderId="10" xfId="0" applyNumberFormat="1" applyFont="1" applyBorder="1" applyAlignment="1">
      <alignment horizontal="right" vertical="top" indent="1"/>
    </xf>
    <xf numFmtId="164" fontId="2" fillId="7" borderId="11" xfId="0" applyNumberFormat="1" applyFont="1" applyFill="1" applyBorder="1" applyAlignment="1">
      <alignment horizontal="right" vertical="top" indent="1"/>
    </xf>
    <xf numFmtId="0" fontId="9" fillId="0" borderId="0" xfId="0" applyFont="1" applyAlignment="1">
      <alignment horizontal="right" vertical="center" wrapText="1" indent="1"/>
    </xf>
    <xf numFmtId="164" fontId="9" fillId="2" borderId="2" xfId="0" applyNumberFormat="1" applyFont="1" applyFill="1" applyBorder="1" applyAlignment="1">
      <alignment horizontal="right" vertical="center" wrapText="1" indent="1"/>
    </xf>
    <xf numFmtId="164" fontId="9" fillId="2" borderId="3" xfId="0" applyNumberFormat="1" applyFont="1" applyFill="1" applyBorder="1" applyAlignment="1">
      <alignment horizontal="right" vertical="center" wrapText="1" indent="1"/>
    </xf>
    <xf numFmtId="0" fontId="5" fillId="0" borderId="4" xfId="0" applyFont="1" applyBorder="1" applyAlignment="1">
      <alignment horizontal="left" vertical="center" indent="1"/>
    </xf>
    <xf numFmtId="164" fontId="6" fillId="0" borderId="5" xfId="0" applyNumberFormat="1" applyFont="1" applyBorder="1" applyAlignment="1">
      <alignment horizontal="right" indent="1"/>
    </xf>
    <xf numFmtId="164" fontId="6" fillId="0" borderId="7" xfId="0" applyNumberFormat="1" applyFont="1" applyBorder="1" applyAlignment="1">
      <alignment horizontal="right" indent="1"/>
    </xf>
    <xf numFmtId="0" fontId="7" fillId="3" borderId="11" xfId="0" applyFont="1" applyFill="1" applyBorder="1" applyAlignment="1">
      <alignment horizontal="left" vertical="top" wrapText="1"/>
    </xf>
    <xf numFmtId="0" fontId="8" fillId="4" borderId="11" xfId="0" applyFont="1" applyFill="1" applyBorder="1" applyAlignment="1">
      <alignment indent="1"/>
    </xf>
    <xf numFmtId="0" fontId="8" fillId="4" borderId="11" xfId="0" applyFont="1" applyFill="1" applyBorder="1" applyAlignment="1">
      <alignment indent="2"/>
    </xf>
    <xf numFmtId="0" fontId="10" fillId="2" borderId="1" xfId="0" applyFont="1" applyFill="1" applyBorder="1" applyAlignment="1">
      <alignment horizontal="right" vertical="center" wrapText="1" inden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3"/>
  <sheetViews>
    <sheetView tabSelected="1" workbookViewId="0">
      <pane ySplit="1" topLeftCell="A2" activePane="bottomLeft" state="frozen"/>
      <selection pane="bottomLeft"/>
    </sheetView>
  </sheetViews>
  <sheetFormatPr defaultRowHeight="15.75"/>
  <cols>
    <col min="1" max="1" width="3" customWidth="1"/>
    <col min="2" max="2" width="6" style="1" customWidth="1"/>
    <col min="3" max="3" width="13" style="2" customWidth="1"/>
    <col min="4" max="4" width="50" style="3" customWidth="1"/>
    <col min="5" max="5" width="20" style="3" customWidth="1"/>
    <col min="6" max="7" width="12" style="4" customWidth="1"/>
    <col min="8" max="9" width="14" style="5" customWidth="1"/>
    <col min="10" max="10" width="13" style="5" customWidth="1"/>
    <col min="11" max="13" width="14" style="5" customWidth="1"/>
    <col min="14" max="14" width="16" style="5" customWidth="1"/>
  </cols>
  <sheetData>
    <row r="1" spans="1:14" s="6" customFormat="1" ht="39.950000000000003" customHeight="1">
      <c r="A1" s="6" t="s">
        <v>0</v>
      </c>
      <c r="B1" s="7" t="s">
        <v>1</v>
      </c>
      <c r="C1" s="8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1" t="s">
        <v>13</v>
      </c>
    </row>
    <row r="2" spans="1:14" ht="15">
      <c r="A2" t="s">
        <v>0</v>
      </c>
      <c r="B2" s="30" t="s">
        <v>14</v>
      </c>
      <c r="C2" s="30"/>
      <c r="D2" s="30"/>
      <c r="E2" s="30"/>
      <c r="F2" s="30"/>
      <c r="G2" s="30"/>
      <c r="H2" s="30"/>
      <c r="I2" s="30"/>
      <c r="J2" s="30"/>
      <c r="K2" s="30"/>
      <c r="L2" s="31" t="s">
        <v>15</v>
      </c>
      <c r="M2" s="31"/>
      <c r="N2" s="12" t="s">
        <v>16</v>
      </c>
    </row>
    <row r="3" spans="1:14" ht="15">
      <c r="B3" s="30"/>
      <c r="C3" s="30"/>
      <c r="D3" s="30"/>
      <c r="E3" s="30"/>
      <c r="F3" s="30"/>
      <c r="G3" s="30"/>
      <c r="H3" s="30"/>
      <c r="I3" s="30"/>
      <c r="J3" s="30"/>
      <c r="K3" s="30"/>
      <c r="L3" s="32" t="s">
        <v>17</v>
      </c>
      <c r="M3" s="32"/>
      <c r="N3" s="13">
        <v>0</v>
      </c>
    </row>
    <row r="4" spans="1:14" s="14" customFormat="1" ht="15">
      <c r="B4" s="15"/>
      <c r="C4" s="16" t="s">
        <v>18</v>
      </c>
      <c r="D4" s="33" t="s">
        <v>19</v>
      </c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14" s="17" customFormat="1" ht="12.75">
      <c r="B5" s="18"/>
      <c r="C5" s="19" t="s">
        <v>20</v>
      </c>
      <c r="D5" s="34" t="s">
        <v>21</v>
      </c>
      <c r="E5" s="34"/>
      <c r="F5" s="34"/>
      <c r="G5" s="34"/>
      <c r="H5" s="34"/>
      <c r="I5" s="34"/>
      <c r="J5" s="34"/>
      <c r="K5" s="34"/>
      <c r="L5" s="34"/>
      <c r="M5" s="34"/>
      <c r="N5" s="34"/>
    </row>
    <row r="6" spans="1:14" s="17" customFormat="1" ht="12.75">
      <c r="B6" s="18"/>
      <c r="C6" s="19" t="s">
        <v>22</v>
      </c>
      <c r="D6" s="35" t="s">
        <v>23</v>
      </c>
      <c r="E6" s="35"/>
      <c r="F6" s="35"/>
      <c r="G6" s="35"/>
      <c r="H6" s="35"/>
      <c r="I6" s="35"/>
      <c r="J6" s="35"/>
      <c r="K6" s="35"/>
      <c r="L6" s="35"/>
      <c r="M6" s="35"/>
      <c r="N6" s="35"/>
    </row>
    <row r="7" spans="1:14" ht="38.25">
      <c r="B7" s="20">
        <v>1</v>
      </c>
      <c r="C7" s="21" t="s">
        <v>24</v>
      </c>
      <c r="D7" s="22" t="s">
        <v>25</v>
      </c>
      <c r="E7" s="22" t="s">
        <v>26</v>
      </c>
      <c r="F7" s="23">
        <v>0.03</v>
      </c>
      <c r="G7" s="24">
        <v>1</v>
      </c>
      <c r="H7" s="25">
        <f>F7 * G7 * 22070.1378</f>
        <v>662.10413400000004</v>
      </c>
      <c r="I7" s="25">
        <f>F7 * G7 * 10897.981095</f>
        <v>326.93943284999995</v>
      </c>
      <c r="J7" s="25">
        <f>F7 * G7 * 0</f>
        <v>0</v>
      </c>
      <c r="K7" s="25">
        <f>F7 * G7 * 21010.7711859999</f>
        <v>630.32313557999703</v>
      </c>
      <c r="L7" s="25">
        <f>F7 * G7 * 6160.452811</f>
        <v>184.81358433</v>
      </c>
      <c r="M7" s="25">
        <f>F7 * G7 * 4414.02756</f>
        <v>132.42082680000001</v>
      </c>
      <c r="N7" s="26">
        <f>SUM(H7:M7)</f>
        <v>1936.601113559997</v>
      </c>
    </row>
    <row r="8" spans="1:14" s="14" customFormat="1" ht="15">
      <c r="B8" s="15"/>
      <c r="C8" s="16" t="s">
        <v>27</v>
      </c>
      <c r="D8" s="33" t="s">
        <v>28</v>
      </c>
      <c r="E8" s="33"/>
      <c r="F8" s="33"/>
      <c r="G8" s="33"/>
      <c r="H8" s="33"/>
      <c r="I8" s="33"/>
      <c r="J8" s="33"/>
      <c r="K8" s="33"/>
      <c r="L8" s="33"/>
      <c r="M8" s="33"/>
      <c r="N8" s="33"/>
    </row>
    <row r="9" spans="1:14" s="17" customFormat="1" ht="12.75">
      <c r="B9" s="18"/>
      <c r="C9" s="19" t="s">
        <v>29</v>
      </c>
      <c r="D9" s="34" t="s">
        <v>30</v>
      </c>
      <c r="E9" s="34"/>
      <c r="F9" s="34"/>
      <c r="G9" s="34"/>
      <c r="H9" s="34"/>
      <c r="I9" s="34"/>
      <c r="J9" s="34"/>
      <c r="K9" s="34"/>
      <c r="L9" s="34"/>
      <c r="M9" s="34"/>
      <c r="N9" s="34"/>
    </row>
    <row r="10" spans="1:14" ht="25.5">
      <c r="B10" s="20">
        <v>2</v>
      </c>
      <c r="C10" s="21" t="s">
        <v>31</v>
      </c>
      <c r="D10" s="22" t="s">
        <v>32</v>
      </c>
      <c r="E10" s="22" t="s">
        <v>33</v>
      </c>
      <c r="F10" s="23">
        <v>0.01</v>
      </c>
      <c r="G10" s="24">
        <v>1</v>
      </c>
      <c r="H10" s="25">
        <f>F10 * G10 * 20853.288</f>
        <v>208.53288000000001</v>
      </c>
      <c r="I10" s="25">
        <f>F10 * G10 * 14281.888527</f>
        <v>142.81888526999998</v>
      </c>
      <c r="J10" s="25">
        <f>F10 * G10 * 0</f>
        <v>0</v>
      </c>
      <c r="K10" s="25">
        <f>F10 * G10 * 19852.330176</f>
        <v>198.52330176000001</v>
      </c>
      <c r="L10" s="25">
        <f>F10 * G10 * 6241.186334</f>
        <v>62.411863340000004</v>
      </c>
      <c r="M10" s="25">
        <f>F10 * G10 * 4170.6576</f>
        <v>41.706575999999998</v>
      </c>
      <c r="N10" s="26">
        <f>SUM(H10:M10)</f>
        <v>653.99350636999998</v>
      </c>
    </row>
    <row r="11" spans="1:14" s="14" customFormat="1" ht="15">
      <c r="B11" s="15"/>
      <c r="C11" s="16" t="s">
        <v>34</v>
      </c>
      <c r="D11" s="33" t="s">
        <v>35</v>
      </c>
      <c r="E11" s="33"/>
      <c r="F11" s="33"/>
      <c r="G11" s="33"/>
      <c r="H11" s="33"/>
      <c r="I11" s="33"/>
      <c r="J11" s="33"/>
      <c r="K11" s="33"/>
      <c r="L11" s="33"/>
      <c r="M11" s="33"/>
      <c r="N11" s="33"/>
    </row>
    <row r="12" spans="1:14" ht="25.5">
      <c r="B12" s="20">
        <v>3</v>
      </c>
      <c r="C12" s="21" t="s">
        <v>36</v>
      </c>
      <c r="D12" s="22" t="s">
        <v>37</v>
      </c>
      <c r="E12" s="22" t="s">
        <v>38</v>
      </c>
      <c r="F12" s="23">
        <v>0.25</v>
      </c>
      <c r="G12" s="24">
        <v>1</v>
      </c>
      <c r="H12" s="25">
        <f>F12 * G12 * 2443.6344</f>
        <v>610.90859999999998</v>
      </c>
      <c r="I12" s="25">
        <f>F12 * G12 * 600.324723</f>
        <v>150.08118074999999</v>
      </c>
      <c r="J12" s="25">
        <f>F12 * G12 * 0</f>
        <v>0</v>
      </c>
      <c r="K12" s="25">
        <f>F12 * G12 * 2326.339949</f>
        <v>581.58498725000004</v>
      </c>
      <c r="L12" s="25">
        <f>F12 * G12 * 618.127237999999</f>
        <v>154.53180949999975</v>
      </c>
      <c r="M12" s="25">
        <f>F12 * G12 * 488.72688</f>
        <v>122.18172</v>
      </c>
      <c r="N12" s="26">
        <f>SUM(H12:M12)</f>
        <v>1619.2882974999998</v>
      </c>
    </row>
    <row r="13" spans="1:14" s="14" customFormat="1" ht="15">
      <c r="B13" s="15"/>
      <c r="C13" s="16" t="s">
        <v>39</v>
      </c>
      <c r="D13" s="33" t="s">
        <v>40</v>
      </c>
      <c r="E13" s="33"/>
      <c r="F13" s="33"/>
      <c r="G13" s="33"/>
      <c r="H13" s="33"/>
      <c r="I13" s="33"/>
      <c r="J13" s="33"/>
      <c r="K13" s="33"/>
      <c r="L13" s="33"/>
      <c r="M13" s="33"/>
      <c r="N13" s="33"/>
    </row>
    <row r="14" spans="1:14" s="17" customFormat="1" ht="12.75">
      <c r="B14" s="18"/>
      <c r="C14" s="19" t="s">
        <v>41</v>
      </c>
      <c r="D14" s="34" t="s">
        <v>42</v>
      </c>
      <c r="E14" s="34"/>
      <c r="F14" s="34"/>
      <c r="G14" s="34"/>
      <c r="H14" s="34"/>
      <c r="I14" s="34"/>
      <c r="J14" s="34"/>
      <c r="K14" s="34"/>
      <c r="L14" s="34"/>
      <c r="M14" s="34"/>
      <c r="N14" s="34"/>
    </row>
    <row r="15" spans="1:14" s="17" customFormat="1" ht="12.75">
      <c r="B15" s="18"/>
      <c r="C15" s="19" t="s">
        <v>43</v>
      </c>
      <c r="D15" s="35" t="s">
        <v>44</v>
      </c>
      <c r="E15" s="35"/>
      <c r="F15" s="35"/>
      <c r="G15" s="35"/>
      <c r="H15" s="35"/>
      <c r="I15" s="35"/>
      <c r="J15" s="35"/>
      <c r="K15" s="35"/>
      <c r="L15" s="35"/>
      <c r="M15" s="35"/>
      <c r="N15" s="35"/>
    </row>
    <row r="16" spans="1:14" ht="25.5">
      <c r="B16" s="20">
        <v>4</v>
      </c>
      <c r="C16" s="21" t="s">
        <v>45</v>
      </c>
      <c r="D16" s="22" t="s">
        <v>46</v>
      </c>
      <c r="E16" s="22" t="s">
        <v>26</v>
      </c>
      <c r="F16" s="23">
        <v>14.4</v>
      </c>
      <c r="G16" s="24">
        <v>1</v>
      </c>
      <c r="H16" s="25">
        <f>F16 * G16 * 950.793</f>
        <v>13691.4192</v>
      </c>
      <c r="I16" s="25">
        <f>F16 * G16 * 7.170829</f>
        <v>103.2599376</v>
      </c>
      <c r="J16" s="25">
        <f>F16 * G16 * 0</f>
        <v>0</v>
      </c>
      <c r="K16" s="25">
        <f>F16 * G16 * 905.154935999999</f>
        <v>13034.231078399986</v>
      </c>
      <c r="L16" s="25">
        <f>F16 * G16 * 216.620762</f>
        <v>3119.3389728000002</v>
      </c>
      <c r="M16" s="25">
        <f>F16 * G16 * 190.1586</f>
        <v>2738.2838400000001</v>
      </c>
      <c r="N16" s="26">
        <f>SUM(H16:M16)</f>
        <v>32686.533028799986</v>
      </c>
    </row>
    <row r="17" spans="2:14" ht="25.5">
      <c r="B17" s="20">
        <v>5</v>
      </c>
      <c r="C17" s="21" t="s">
        <v>47</v>
      </c>
      <c r="D17" s="22" t="s">
        <v>48</v>
      </c>
      <c r="E17" s="22" t="s">
        <v>26</v>
      </c>
      <c r="F17" s="23">
        <v>14.4</v>
      </c>
      <c r="G17" s="24">
        <v>1</v>
      </c>
      <c r="H17" s="25">
        <f>F17 * G17 * 400.009997</f>
        <v>5760.1439568000005</v>
      </c>
      <c r="I17" s="25">
        <f>F17 * G17 * 0</f>
        <v>0</v>
      </c>
      <c r="J17" s="25">
        <f>F17 * G17 * 68.046825</f>
        <v>979.87428</v>
      </c>
      <c r="K17" s="25">
        <f>F17 * G17 * 380.809517</f>
        <v>5483.6570448000002</v>
      </c>
      <c r="L17" s="25">
        <f>F17 * G17 * 97.99561</f>
        <v>1411.136784</v>
      </c>
      <c r="M17" s="25">
        <f>F17 * G17 * 80.001999</f>
        <v>1152.0287856</v>
      </c>
      <c r="N17" s="26">
        <f>SUM(H17:M17)</f>
        <v>14786.840851200001</v>
      </c>
    </row>
    <row r="18" spans="2:14" s="17" customFormat="1" ht="12.75">
      <c r="B18" s="18"/>
      <c r="C18" s="19" t="s">
        <v>49</v>
      </c>
      <c r="D18" s="35" t="s">
        <v>50</v>
      </c>
      <c r="E18" s="35"/>
      <c r="F18" s="35"/>
      <c r="G18" s="35"/>
      <c r="H18" s="35"/>
      <c r="I18" s="35"/>
      <c r="J18" s="35"/>
      <c r="K18" s="35"/>
      <c r="L18" s="35"/>
      <c r="M18" s="35"/>
      <c r="N18" s="35"/>
    </row>
    <row r="19" spans="2:14" ht="25.5">
      <c r="B19" s="20">
        <v>6</v>
      </c>
      <c r="C19" s="21" t="s">
        <v>51</v>
      </c>
      <c r="D19" s="22" t="s">
        <v>52</v>
      </c>
      <c r="E19" s="22" t="s">
        <v>53</v>
      </c>
      <c r="F19" s="23">
        <v>43.2</v>
      </c>
      <c r="G19" s="24">
        <v>1</v>
      </c>
      <c r="H19" s="25">
        <f>F19 * G19 * 223.97976</f>
        <v>9675.9256320000004</v>
      </c>
      <c r="I19" s="25">
        <f>F19 * G19 * 0</f>
        <v>0</v>
      </c>
      <c r="J19" s="25">
        <f>F19 * G19 * 0</f>
        <v>0</v>
      </c>
      <c r="K19" s="25">
        <f>F19 * G19 * 213.228732</f>
        <v>9211.4812224000016</v>
      </c>
      <c r="L19" s="25">
        <f>F19 * G19 * 50.8514689999999</f>
        <v>2196.7834607999957</v>
      </c>
      <c r="M19" s="25">
        <f>F19 * G19 * 44.795952</f>
        <v>1935.1851264000002</v>
      </c>
      <c r="N19" s="26">
        <f>SUM(H19:M19)</f>
        <v>23019.375441600001</v>
      </c>
    </row>
    <row r="20" spans="2:14" s="14" customFormat="1" ht="15">
      <c r="B20" s="15"/>
      <c r="C20" s="16" t="s">
        <v>54</v>
      </c>
      <c r="D20" s="33" t="s">
        <v>55</v>
      </c>
      <c r="E20" s="33"/>
      <c r="F20" s="33"/>
      <c r="G20" s="33"/>
      <c r="H20" s="33"/>
      <c r="I20" s="33"/>
      <c r="J20" s="33"/>
      <c r="K20" s="33"/>
      <c r="L20" s="33"/>
      <c r="M20" s="33"/>
      <c r="N20" s="33"/>
    </row>
    <row r="21" spans="2:14" s="17" customFormat="1" ht="12.75">
      <c r="B21" s="18"/>
      <c r="C21" s="19" t="s">
        <v>56</v>
      </c>
      <c r="D21" s="34" t="s">
        <v>57</v>
      </c>
      <c r="E21" s="34"/>
      <c r="F21" s="34"/>
      <c r="G21" s="34"/>
      <c r="H21" s="34"/>
      <c r="I21" s="34"/>
      <c r="J21" s="34"/>
      <c r="K21" s="34"/>
      <c r="L21" s="34"/>
      <c r="M21" s="34"/>
      <c r="N21" s="34"/>
    </row>
    <row r="22" spans="2:14">
      <c r="B22" s="20">
        <v>7</v>
      </c>
      <c r="C22" s="21" t="s">
        <v>58</v>
      </c>
      <c r="D22" s="22" t="s">
        <v>59</v>
      </c>
      <c r="E22" s="22" t="s">
        <v>60</v>
      </c>
      <c r="F22" s="23">
        <v>1</v>
      </c>
      <c r="G22" s="24">
        <v>1</v>
      </c>
      <c r="H22" s="25">
        <f>F22 * G22 * 1274.737224</f>
        <v>1274.737224</v>
      </c>
      <c r="I22" s="25">
        <f>F22 * G22 * 193.237014</f>
        <v>193.23701399999999</v>
      </c>
      <c r="J22" s="25">
        <f>F22 * G22 * 6.013238</f>
        <v>6.0132380000000003</v>
      </c>
      <c r="K22" s="25">
        <f>F22 * G22 * 1213.549838</f>
        <v>1213.5498379999999</v>
      </c>
      <c r="L22" s="25">
        <f>F22 * G22 * 310.432142</f>
        <v>310.432142</v>
      </c>
      <c r="M22" s="25">
        <f>F22 * G22 * 254.947445</f>
        <v>254.94744499999999</v>
      </c>
      <c r="N22" s="26">
        <f>SUM(H22:M22)</f>
        <v>3252.9169010000001</v>
      </c>
    </row>
    <row r="23" spans="2:14" s="27" customFormat="1" ht="20.100000000000001" customHeight="1">
      <c r="B23" s="36" t="s">
        <v>61</v>
      </c>
      <c r="C23" s="36"/>
      <c r="D23" s="36"/>
      <c r="E23" s="36"/>
      <c r="F23" s="36"/>
      <c r="G23" s="36"/>
      <c r="H23" s="28">
        <f t="shared" ref="H23:N23" si="0">SUM(H4:H22)</f>
        <v>31883.771626800004</v>
      </c>
      <c r="I23" s="28">
        <f t="shared" si="0"/>
        <v>916.33645047000005</v>
      </c>
      <c r="J23" s="28">
        <f t="shared" si="0"/>
        <v>985.887518</v>
      </c>
      <c r="K23" s="28">
        <f t="shared" si="0"/>
        <v>30353.350608189983</v>
      </c>
      <c r="L23" s="28">
        <f t="shared" si="0"/>
        <v>7439.4486167699952</v>
      </c>
      <c r="M23" s="28">
        <f t="shared" si="0"/>
        <v>6376.7543198000003</v>
      </c>
      <c r="N23" s="29">
        <f t="shared" si="0"/>
        <v>77955.549140029994</v>
      </c>
    </row>
  </sheetData>
  <mergeCells count="16">
    <mergeCell ref="B23:G23"/>
    <mergeCell ref="D14:N14"/>
    <mergeCell ref="D15:N15"/>
    <mergeCell ref="D18:N18"/>
    <mergeCell ref="D20:N20"/>
    <mergeCell ref="D21:N21"/>
    <mergeCell ref="D6:N6"/>
    <mergeCell ref="D8:N8"/>
    <mergeCell ref="D9:N9"/>
    <mergeCell ref="D11:N11"/>
    <mergeCell ref="D13:N13"/>
    <mergeCell ref="B2:K3"/>
    <mergeCell ref="L2:M2"/>
    <mergeCell ref="L3:M3"/>
    <mergeCell ref="D4:N4"/>
    <mergeCell ref="D5:N5"/>
  </mergeCells>
  <pageMargins left="0.7" right="0.7" top="0.75" bottom="0.75" header="0.3" footer="0.3"/>
  <pageSetup paperSize="9" fitToHeight="0" orientation="landscape" horizontalDpi="4294967295" verticalDpi="4294967295"/>
  <headerFooter>
    <oddHeader>&amp;C&amp;KCCCCCC&amp;"Arial"Бундурина 62</oddHeader>
    <oddFooter>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</vt:lpstr>
      <vt:lpstr>Смета!Заголовки_для_печати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Бундурина 62</dc:title>
  <dc:creator/>
  <cp:lastModifiedBy/>
  <cp:lastPrinted>2022-03-21T13:49:51Z</cp:lastPrinted>
  <dcterms:created xsi:type="dcterms:W3CDTF">2022-03-21T13:49:51Z</dcterms:created>
  <dcterms:modified xsi:type="dcterms:W3CDTF">2022-03-21T13:50:07Z</dcterms:modified>
</cp:coreProperties>
</file>