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/>
  <bookViews>
    <workbookView xWindow="840" yWindow="1095" windowWidth="19335" windowHeight="6795"/>
  </bookViews>
  <sheets>
    <sheet name="Смета" sheetId="1" r:id="rId1"/>
  </sheets>
  <definedNames>
    <definedName name="_xlnm.Print_Titles" localSheetId="0">Смета!$1:$1</definedName>
  </definedNames>
  <calcPr calcId="124519"/>
</workbook>
</file>

<file path=xl/calcChain.xml><?xml version="1.0" encoding="utf-8"?>
<calcChain xmlns="http://schemas.openxmlformats.org/spreadsheetml/2006/main">
  <c r="M38" i="1"/>
  <c r="L38"/>
  <c r="K38"/>
  <c r="J38"/>
  <c r="I38"/>
  <c r="H38"/>
  <c r="N38" s="1"/>
  <c r="M35"/>
  <c r="L35"/>
  <c r="K35"/>
  <c r="J35"/>
  <c r="I35"/>
  <c r="H35"/>
  <c r="N35" s="1"/>
  <c r="M33"/>
  <c r="L33"/>
  <c r="K33"/>
  <c r="J33"/>
  <c r="N33" s="1"/>
  <c r="I33"/>
  <c r="H33"/>
  <c r="N29"/>
  <c r="M29"/>
  <c r="L29"/>
  <c r="K29"/>
  <c r="J29"/>
  <c r="I29"/>
  <c r="H29"/>
  <c r="M28"/>
  <c r="L28"/>
  <c r="K28"/>
  <c r="J28"/>
  <c r="I28"/>
  <c r="H28"/>
  <c r="N28" s="1"/>
  <c r="M25"/>
  <c r="L25"/>
  <c r="K25"/>
  <c r="J25"/>
  <c r="I25"/>
  <c r="H25"/>
  <c r="N25" s="1"/>
  <c r="M23"/>
  <c r="L23"/>
  <c r="K23"/>
  <c r="J23"/>
  <c r="N23" s="1"/>
  <c r="I23"/>
  <c r="H23"/>
  <c r="M21"/>
  <c r="L21"/>
  <c r="K21"/>
  <c r="J21"/>
  <c r="N21" s="1"/>
  <c r="I21"/>
  <c r="H21"/>
  <c r="M18"/>
  <c r="L18"/>
  <c r="K18"/>
  <c r="J18"/>
  <c r="I18"/>
  <c r="H18"/>
  <c r="N18" s="1"/>
  <c r="M17"/>
  <c r="L17"/>
  <c r="K17"/>
  <c r="J17"/>
  <c r="I17"/>
  <c r="H17"/>
  <c r="N17" s="1"/>
  <c r="M13"/>
  <c r="L13"/>
  <c r="K13"/>
  <c r="J13"/>
  <c r="N13" s="1"/>
  <c r="I13"/>
  <c r="H13"/>
  <c r="M12"/>
  <c r="L12"/>
  <c r="K12"/>
  <c r="J12"/>
  <c r="J39" s="1"/>
  <c r="I12"/>
  <c r="H12"/>
  <c r="M8"/>
  <c r="L8"/>
  <c r="K8"/>
  <c r="J8"/>
  <c r="I8"/>
  <c r="H8"/>
  <c r="N8" s="1"/>
  <c r="M6"/>
  <c r="M39" s="1"/>
  <c r="L6"/>
  <c r="L39" s="1"/>
  <c r="K6"/>
  <c r="K39" s="1"/>
  <c r="J6"/>
  <c r="I6"/>
  <c r="I39" s="1"/>
  <c r="H6"/>
  <c r="H39" s="1"/>
  <c r="N6" l="1"/>
  <c r="N39" s="1"/>
  <c r="N12"/>
</calcChain>
</file>

<file path=xl/sharedStrings.xml><?xml version="1.0" encoding="utf-8"?>
<sst xmlns="http://schemas.openxmlformats.org/spreadsheetml/2006/main" count="104" uniqueCount="100">
  <si>
    <t/>
  </si>
  <si>
    <t>№ ПП</t>
  </si>
  <si>
    <t>КОД</t>
  </si>
  <si>
    <t>НАЗВАНИЕ РАБОТЫ</t>
  </si>
  <si>
    <t>ИЗМЕРИТЕЛЬ</t>
  </si>
  <si>
    <t>КОЛ-ВО ЕД. ИЗМ.</t>
  </si>
  <si>
    <t>ПЕРИОДИЧ- НОСТЬ В ГОД</t>
  </si>
  <si>
    <t>ТРУД. РЕСУРСЫ, РУБ.</t>
  </si>
  <si>
    <t>МАТЕР. РЕСУРСЫ, РУБ.</t>
  </si>
  <si>
    <t>МАШ. МЕХ., РУБ.</t>
  </si>
  <si>
    <t>НАКЛ. РАСХОДЫ, РУБ.</t>
  </si>
  <si>
    <t>ПРИБЫЛЬ, РУБ.</t>
  </si>
  <si>
    <t>РАСХОДЫ НА УПРАВ., РУБ.</t>
  </si>
  <si>
    <t>СТОИМОСТЬ, РУБ.</t>
  </si>
  <si>
    <t>Д. Ульянова 9</t>
  </si>
  <si>
    <t>Дата изменения:</t>
  </si>
  <si>
    <t>22.03.2022</t>
  </si>
  <si>
    <t>Общая площадь, кв.м:</t>
  </si>
  <si>
    <t>1.1</t>
  </si>
  <si>
    <t>Фундаменты</t>
  </si>
  <si>
    <t>1.1.7</t>
  </si>
  <si>
    <t>Восстановление (ремонт)  освещения и  вентиляции  подвала</t>
  </si>
  <si>
    <t>1.1.7.3</t>
  </si>
  <si>
    <t>Замена ламп накаливания</t>
  </si>
  <si>
    <t>100 шт.</t>
  </si>
  <si>
    <t>1.2</t>
  </si>
  <si>
    <t>Кирпичные, каменные и железобетонные стены</t>
  </si>
  <si>
    <t>1.2.19</t>
  </si>
  <si>
    <t>Установка групповых металлических почтовых ящиков на 6 отделений</t>
  </si>
  <si>
    <t>1 ящик</t>
  </si>
  <si>
    <t>1.10</t>
  </si>
  <si>
    <t>Лестницы</t>
  </si>
  <si>
    <t>1.10.4</t>
  </si>
  <si>
    <t>Ремонт,  замена  перил</t>
  </si>
  <si>
    <t>1.10.4.1</t>
  </si>
  <si>
    <t>Смена отдельных частей поручней</t>
  </si>
  <si>
    <t>1.10.4.1.1</t>
  </si>
  <si>
    <t>Смена прямых  частей поручней</t>
  </si>
  <si>
    <t>100 м</t>
  </si>
  <si>
    <t>1.10.4.2</t>
  </si>
  <si>
    <t>Изготовление прямых частей  поручня</t>
  </si>
  <si>
    <t>2.1</t>
  </si>
  <si>
    <t>Система теплоснабжения</t>
  </si>
  <si>
    <t>2.1.2</t>
  </si>
  <si>
    <t>Ремонт,  модернизация внутридомовых отопительных сетей</t>
  </si>
  <si>
    <t>2.1.2.3</t>
  </si>
  <si>
    <t xml:space="preserve">Модернизация внутридомовых тепловых сетей путем замены на трубопроводы из многослойных металл-полимерных труб при стояковой системе отопления </t>
  </si>
  <si>
    <t>2.1.2.3.2</t>
  </si>
  <si>
    <t>Модернизация внутридомовых тепловых сетей путем замены на трубопроводы из многослойных металл-полимерных труб при стояковой системе отопления диаметром до 25 мм</t>
  </si>
  <si>
    <t>пог.м.</t>
  </si>
  <si>
    <t>2.1.2.3.3</t>
  </si>
  <si>
    <t>Модернизация внутридомовых тепловых сетей путем замены на трубопроводы из многослойных металл-полимерных труб при стояковой системе отопления диаметром до 32 мм</t>
  </si>
  <si>
    <t>2.1.8</t>
  </si>
  <si>
    <t>Ремонт  насосов,  магистральной запорной арматуры,  автоматических устройств</t>
  </si>
  <si>
    <t>2.1.8.7</t>
  </si>
  <si>
    <t>Смена пробковых кранов</t>
  </si>
  <si>
    <t>2.1.8.7.1</t>
  </si>
  <si>
    <t>Смена пробковых кранов диаметром до 25 мм</t>
  </si>
  <si>
    <t>100 кранов</t>
  </si>
  <si>
    <t>2.1.8.9</t>
  </si>
  <si>
    <t>Установка кранов для спуска воздуха из системы</t>
  </si>
  <si>
    <t>2.1.8.9.1</t>
  </si>
  <si>
    <t>Установка кранов для спуска воздуха из системы, диаметр крана 15-20 мм</t>
  </si>
  <si>
    <t>2.3</t>
  </si>
  <si>
    <t>Система водоотведения</t>
  </si>
  <si>
    <t>2.3.4</t>
  </si>
  <si>
    <t>Устранение засоров внутренних канализационных трубопроводов</t>
  </si>
  <si>
    <t>100 м трубы</t>
  </si>
  <si>
    <t>2.5</t>
  </si>
  <si>
    <t>Внутридомовое электро-, радио- и телеоборудование</t>
  </si>
  <si>
    <t>2.5.1</t>
  </si>
  <si>
    <t>Ремонт,  замена  шкафов  вводных и  вводно-распределительных устройств</t>
  </si>
  <si>
    <t>2.5.1.10</t>
  </si>
  <si>
    <t>Ремонт устройства автоматического выключения резерва</t>
  </si>
  <si>
    <t>1 устройство АВР</t>
  </si>
  <si>
    <t>2.5.4</t>
  </si>
  <si>
    <t>Ремонт, замена  внутридомовых электрических сетей</t>
  </si>
  <si>
    <t>1000 пог.м.</t>
  </si>
  <si>
    <t>2.6</t>
  </si>
  <si>
    <t>Подготовка многоквартирного дома к сезонной эксплуатации, проведение технических осмотров</t>
  </si>
  <si>
    <t>2.6.14</t>
  </si>
  <si>
    <t>Проведение технических осмотров и устранение незначительных неисправностей в  системе   теплоснабжения</t>
  </si>
  <si>
    <t>2.6.14.3</t>
  </si>
  <si>
    <t>Гидравлическое испытание трубопроводов систем центрального отопления (расконсервация)</t>
  </si>
  <si>
    <t>2.6.14.3.2</t>
  </si>
  <si>
    <t>Рабочая проверка системы в целом при диаметре трубопровода до 50 мм</t>
  </si>
  <si>
    <t>100 м трубопровода</t>
  </si>
  <si>
    <t>2.6.14.4</t>
  </si>
  <si>
    <t>Промывка трубопроводов системы центрального отопления</t>
  </si>
  <si>
    <t>2.6.14.4.1</t>
  </si>
  <si>
    <t>Промывка трубопроводов системы центрального отопления до 50 мм</t>
  </si>
  <si>
    <t>10 м трубопровода (100 м3 здания)</t>
  </si>
  <si>
    <t>2.6.14.5</t>
  </si>
  <si>
    <t>Устранение незначительных неисправностей в  системе   теплоснабжения</t>
  </si>
  <si>
    <t>2.6.14.5.5</t>
  </si>
  <si>
    <t>Ликвидация воздушных пробок в системе отопления</t>
  </si>
  <si>
    <t>2.6.14.5.5.1</t>
  </si>
  <si>
    <t>Ликвидация воздушных пробок в стояке системы отопления</t>
  </si>
  <si>
    <t>100 стояков</t>
  </si>
  <si>
    <t>ИТОГО:</t>
  </si>
</sst>
</file>

<file path=xl/styles.xml><?xml version="1.0" encoding="utf-8"?>
<styleSheet xmlns="http://schemas.openxmlformats.org/spreadsheetml/2006/main">
  <numFmts count="1">
    <numFmt numFmtId="164" formatCode="#\ ###\ ##0.00"/>
  </numFmts>
  <fonts count="11">
    <font>
      <sz val="11"/>
      <color theme="1"/>
      <name val="Calibri"/>
      <family val="2"/>
      <scheme val="minor"/>
    </font>
    <font>
      <sz val="9"/>
      <name val="Calibri"/>
    </font>
    <font>
      <sz val="10"/>
      <name val="Calibri"/>
    </font>
    <font>
      <sz val="12"/>
      <name val="Calibri"/>
    </font>
    <font>
      <b/>
      <sz val="9"/>
      <color rgb="FFFFFFFF"/>
      <name val="Calibri"/>
    </font>
    <font>
      <b/>
      <sz val="18"/>
      <color rgb="FF000099"/>
      <name val="Calibri"/>
    </font>
    <font>
      <i/>
      <sz val="11"/>
      <name val="Calibri"/>
    </font>
    <font>
      <b/>
      <sz val="11"/>
      <name val="Calibri"/>
    </font>
    <font>
      <b/>
      <sz val="10"/>
      <color rgb="FF707070"/>
      <name val="Calibri"/>
    </font>
    <font>
      <b/>
      <sz val="11"/>
      <color rgb="FFFFFFFF"/>
      <name val="Calibri"/>
    </font>
    <font>
      <b/>
      <sz val="10"/>
      <color rgb="FFFFFFFF"/>
      <name val="Calibri"/>
    </font>
  </fonts>
  <fills count="8">
    <fill>
      <patternFill patternType="none"/>
    </fill>
    <fill>
      <patternFill patternType="gray125"/>
    </fill>
    <fill>
      <patternFill patternType="solid">
        <fgColor rgb="FF546E7A"/>
      </patternFill>
    </fill>
    <fill>
      <patternFill patternType="solid">
        <fgColor rgb="FFDCE6F1"/>
      </patternFill>
    </fill>
    <fill>
      <patternFill patternType="solid">
        <fgColor rgb="FFF2F2F2"/>
      </patternFill>
    </fill>
    <fill>
      <patternFill patternType="solid">
        <fgColor rgb="FFF9F7ED"/>
      </patternFill>
    </fill>
    <fill>
      <patternFill patternType="solid">
        <fgColor rgb="FFF5F2E0"/>
      </patternFill>
    </fill>
    <fill>
      <patternFill patternType="solid">
        <fgColor rgb="FFEBF1DE"/>
      </patternFill>
    </fill>
  </fills>
  <borders count="12">
    <border>
      <left/>
      <right/>
      <top/>
      <bottom/>
      <diagonal/>
    </border>
    <border>
      <left style="thick">
        <color rgb="FF000000"/>
      </left>
      <right style="thin">
        <color rgb="FFFFFFFF"/>
      </right>
      <top style="thick">
        <color rgb="FF000000"/>
      </top>
      <bottom style="thick">
        <color rgb="FF000000"/>
      </bottom>
      <diagonal/>
    </border>
    <border>
      <left style="thin">
        <color rgb="FFFFFFFF"/>
      </left>
      <right style="thin">
        <color rgb="FFFFFFFF"/>
      </right>
      <top style="thick">
        <color rgb="FF000000"/>
      </top>
      <bottom style="thick">
        <color rgb="FF000000"/>
      </bottom>
      <diagonal/>
    </border>
    <border>
      <left style="thin">
        <color rgb="FFFFFFFF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horizontal="center" vertical="top" wrapText="1" indent="1"/>
    </xf>
    <xf numFmtId="49" fontId="2" fillId="0" borderId="0" xfId="0" applyNumberFormat="1" applyFont="1" applyAlignment="1">
      <alignment horizontal="left" vertical="top" wrapText="1" inden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right" vertical="top" indent="1"/>
    </xf>
    <xf numFmtId="164" fontId="2" fillId="0" borderId="0" xfId="0" applyNumberFormat="1" applyFont="1" applyAlignment="1">
      <alignment horizontal="right" vertical="top" indent="1"/>
    </xf>
    <xf numFmtId="0" fontId="4" fillId="0" borderId="0" xfId="0" applyFont="1" applyAlignment="1">
      <alignment horizontal="center" vertical="center" wrapText="1" indent="1"/>
    </xf>
    <xf numFmtId="0" fontId="4" fillId="2" borderId="1" xfId="0" applyFont="1" applyFill="1" applyBorder="1" applyAlignment="1">
      <alignment horizontal="center" vertical="center" wrapText="1" indent="1"/>
    </xf>
    <xf numFmtId="49" fontId="4" fillId="2" borderId="2" xfId="0" applyNumberFormat="1" applyFont="1" applyFill="1" applyBorder="1" applyAlignment="1">
      <alignment horizontal="center" vertical="center" wrapText="1" indent="1"/>
    </xf>
    <xf numFmtId="0" fontId="4" fillId="2" borderId="2" xfId="0" applyFont="1" applyFill="1" applyBorder="1" applyAlignment="1">
      <alignment horizontal="center" vertical="center" wrapText="1" indent="1"/>
    </xf>
    <xf numFmtId="164" fontId="4" fillId="2" borderId="2" xfId="0" applyNumberFormat="1" applyFont="1" applyFill="1" applyBorder="1" applyAlignment="1">
      <alignment horizontal="center" vertical="center" wrapText="1" indent="1"/>
    </xf>
    <xf numFmtId="164" fontId="4" fillId="2" borderId="3" xfId="0" applyNumberFormat="1" applyFont="1" applyFill="1" applyBorder="1" applyAlignment="1">
      <alignment horizontal="center" vertical="center" wrapText="1" indent="1"/>
    </xf>
    <xf numFmtId="0" fontId="6" fillId="0" borderId="6" xfId="0" applyFont="1" applyBorder="1" applyAlignment="1">
      <alignment horizontal="left" indent="1"/>
    </xf>
    <xf numFmtId="164" fontId="6" fillId="0" borderId="8" xfId="0" applyNumberFormat="1" applyFont="1" applyBorder="1" applyAlignment="1">
      <alignment horizontal="left" indent="1"/>
    </xf>
    <xf numFmtId="0" fontId="7" fillId="0" borderId="0" xfId="0" applyFont="1"/>
    <xf numFmtId="0" fontId="7" fillId="3" borderId="9" xfId="0" applyFont="1" applyFill="1" applyBorder="1" applyAlignment="1">
      <alignment horizontal="center" vertical="top" wrapText="1" indent="1"/>
    </xf>
    <xf numFmtId="49" fontId="7" fillId="3" borderId="10" xfId="0" applyNumberFormat="1" applyFont="1" applyFill="1" applyBorder="1" applyAlignment="1">
      <alignment horizontal="left" vertical="top" wrapText="1" indent="1"/>
    </xf>
    <xf numFmtId="0" fontId="8" fillId="0" borderId="0" xfId="0" applyFont="1"/>
    <xf numFmtId="0" fontId="8" fillId="4" borderId="9" xfId="0" applyFont="1" applyFill="1" applyBorder="1" applyAlignment="1">
      <alignment horizontal="center" vertical="top" wrapText="1" indent="1"/>
    </xf>
    <xf numFmtId="49" fontId="8" fillId="4" borderId="10" xfId="0" applyNumberFormat="1" applyFont="1" applyFill="1" applyBorder="1" applyAlignment="1">
      <alignment horizontal="left" vertical="top" wrapText="1" indent="1"/>
    </xf>
    <xf numFmtId="0" fontId="1" fillId="0" borderId="9" xfId="0" applyFont="1" applyBorder="1" applyAlignment="1">
      <alignment horizontal="center" vertical="top" wrapText="1" indent="1"/>
    </xf>
    <xf numFmtId="49" fontId="2" fillId="0" borderId="10" xfId="0" applyNumberFormat="1" applyFont="1" applyBorder="1" applyAlignment="1">
      <alignment horizontal="left" vertical="top" wrapText="1" indent="1"/>
    </xf>
    <xf numFmtId="0" fontId="2" fillId="0" borderId="10" xfId="0" applyFont="1" applyBorder="1" applyAlignment="1">
      <alignment horizontal="left" vertical="top" wrapText="1"/>
    </xf>
    <xf numFmtId="0" fontId="3" fillId="5" borderId="10" xfId="0" applyFont="1" applyFill="1" applyBorder="1" applyAlignment="1">
      <alignment horizontal="right" vertical="top" indent="1"/>
    </xf>
    <xf numFmtId="0" fontId="3" fillId="6" borderId="10" xfId="0" applyFont="1" applyFill="1" applyBorder="1" applyAlignment="1">
      <alignment horizontal="right" vertical="top" indent="1"/>
    </xf>
    <xf numFmtId="164" fontId="2" fillId="0" borderId="10" xfId="0" applyNumberFormat="1" applyFont="1" applyBorder="1" applyAlignment="1">
      <alignment horizontal="right" vertical="top" indent="1"/>
    </xf>
    <xf numFmtId="164" fontId="2" fillId="7" borderId="11" xfId="0" applyNumberFormat="1" applyFont="1" applyFill="1" applyBorder="1" applyAlignment="1">
      <alignment horizontal="right" vertical="top" indent="1"/>
    </xf>
    <xf numFmtId="0" fontId="9" fillId="0" borderId="0" xfId="0" applyFont="1" applyAlignment="1">
      <alignment horizontal="right" vertical="center" wrapText="1" indent="1"/>
    </xf>
    <xf numFmtId="164" fontId="9" fillId="2" borderId="2" xfId="0" applyNumberFormat="1" applyFont="1" applyFill="1" applyBorder="1" applyAlignment="1">
      <alignment horizontal="right" vertical="center" wrapText="1" indent="1"/>
    </xf>
    <xf numFmtId="164" fontId="9" fillId="2" borderId="3" xfId="0" applyNumberFormat="1" applyFont="1" applyFill="1" applyBorder="1" applyAlignment="1">
      <alignment horizontal="right" vertical="center" wrapText="1" indent="1"/>
    </xf>
    <xf numFmtId="0" fontId="5" fillId="0" borderId="4" xfId="0" applyFont="1" applyBorder="1" applyAlignment="1">
      <alignment horizontal="left" vertical="center" indent="1"/>
    </xf>
    <xf numFmtId="164" fontId="6" fillId="0" borderId="5" xfId="0" applyNumberFormat="1" applyFont="1" applyBorder="1" applyAlignment="1">
      <alignment horizontal="right" indent="1"/>
    </xf>
    <xf numFmtId="164" fontId="6" fillId="0" borderId="7" xfId="0" applyNumberFormat="1" applyFont="1" applyBorder="1" applyAlignment="1">
      <alignment horizontal="right" indent="1"/>
    </xf>
    <xf numFmtId="0" fontId="7" fillId="3" borderId="11" xfId="0" applyFont="1" applyFill="1" applyBorder="1" applyAlignment="1">
      <alignment horizontal="left" vertical="top" wrapText="1"/>
    </xf>
    <xf numFmtId="0" fontId="8" fillId="4" borderId="11" xfId="0" applyFont="1" applyFill="1" applyBorder="1" applyAlignment="1">
      <alignment indent="1"/>
    </xf>
    <xf numFmtId="0" fontId="8" fillId="4" borderId="11" xfId="0" applyFont="1" applyFill="1" applyBorder="1" applyAlignment="1">
      <alignment indent="2"/>
    </xf>
    <xf numFmtId="0" fontId="8" fillId="4" borderId="11" xfId="0" applyFont="1" applyFill="1" applyBorder="1" applyAlignment="1">
      <alignment indent="3"/>
    </xf>
    <xf numFmtId="0" fontId="10" fillId="2" borderId="1" xfId="0" applyFont="1" applyFill="1" applyBorder="1" applyAlignment="1">
      <alignment horizontal="right" vertical="center" wrapText="1" inden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9"/>
  <sheetViews>
    <sheetView tabSelected="1" workbookViewId="0">
      <pane ySplit="1" topLeftCell="A2" activePane="bottomLeft" state="frozen"/>
      <selection pane="bottomLeft"/>
    </sheetView>
  </sheetViews>
  <sheetFormatPr defaultRowHeight="15.75"/>
  <cols>
    <col min="1" max="1" width="3" customWidth="1"/>
    <col min="2" max="2" width="6" style="1" customWidth="1"/>
    <col min="3" max="3" width="13" style="2" customWidth="1"/>
    <col min="4" max="4" width="50" style="3" customWidth="1"/>
    <col min="5" max="5" width="20" style="3" customWidth="1"/>
    <col min="6" max="7" width="12" style="4" customWidth="1"/>
    <col min="8" max="9" width="14" style="5" customWidth="1"/>
    <col min="10" max="10" width="13" style="5" customWidth="1"/>
    <col min="11" max="13" width="14" style="5" customWidth="1"/>
    <col min="14" max="14" width="16" style="5" customWidth="1"/>
  </cols>
  <sheetData>
    <row r="1" spans="1:14" s="6" customFormat="1" ht="39.950000000000003" customHeight="1">
      <c r="A1" s="6" t="s">
        <v>0</v>
      </c>
      <c r="B1" s="7" t="s">
        <v>1</v>
      </c>
      <c r="C1" s="8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11" t="s">
        <v>13</v>
      </c>
    </row>
    <row r="2" spans="1:14" ht="15">
      <c r="A2" t="s">
        <v>0</v>
      </c>
      <c r="B2" s="30" t="s">
        <v>14</v>
      </c>
      <c r="C2" s="30"/>
      <c r="D2" s="30"/>
      <c r="E2" s="30"/>
      <c r="F2" s="30"/>
      <c r="G2" s="30"/>
      <c r="H2" s="30"/>
      <c r="I2" s="30"/>
      <c r="J2" s="30"/>
      <c r="K2" s="30"/>
      <c r="L2" s="31" t="s">
        <v>15</v>
      </c>
      <c r="M2" s="31"/>
      <c r="N2" s="12" t="s">
        <v>16</v>
      </c>
    </row>
    <row r="3" spans="1:14" ht="15">
      <c r="B3" s="30"/>
      <c r="C3" s="30"/>
      <c r="D3" s="30"/>
      <c r="E3" s="30"/>
      <c r="F3" s="30"/>
      <c r="G3" s="30"/>
      <c r="H3" s="30"/>
      <c r="I3" s="30"/>
      <c r="J3" s="30"/>
      <c r="K3" s="30"/>
      <c r="L3" s="32" t="s">
        <v>17</v>
      </c>
      <c r="M3" s="32"/>
      <c r="N3" s="13">
        <v>0</v>
      </c>
    </row>
    <row r="4" spans="1:14" s="14" customFormat="1" ht="15">
      <c r="B4" s="15"/>
      <c r="C4" s="16" t="s">
        <v>18</v>
      </c>
      <c r="D4" s="33" t="s">
        <v>19</v>
      </c>
      <c r="E4" s="33"/>
      <c r="F4" s="33"/>
      <c r="G4" s="33"/>
      <c r="H4" s="33"/>
      <c r="I4" s="33"/>
      <c r="J4" s="33"/>
      <c r="K4" s="33"/>
      <c r="L4" s="33"/>
      <c r="M4" s="33"/>
      <c r="N4" s="33"/>
    </row>
    <row r="5" spans="1:14" s="17" customFormat="1" ht="12.75">
      <c r="B5" s="18"/>
      <c r="C5" s="19" t="s">
        <v>20</v>
      </c>
      <c r="D5" s="34" t="s">
        <v>21</v>
      </c>
      <c r="E5" s="34"/>
      <c r="F5" s="34"/>
      <c r="G5" s="34"/>
      <c r="H5" s="34"/>
      <c r="I5" s="34"/>
      <c r="J5" s="34"/>
      <c r="K5" s="34"/>
      <c r="L5" s="34"/>
      <c r="M5" s="34"/>
      <c r="N5" s="34"/>
    </row>
    <row r="6" spans="1:14">
      <c r="B6" s="20">
        <v>1</v>
      </c>
      <c r="C6" s="21" t="s">
        <v>22</v>
      </c>
      <c r="D6" s="22" t="s">
        <v>23</v>
      </c>
      <c r="E6" s="22" t="s">
        <v>24</v>
      </c>
      <c r="F6" s="23">
        <v>0.14000000000000001</v>
      </c>
      <c r="G6" s="24">
        <v>1</v>
      </c>
      <c r="H6" s="25">
        <f>F6 * G6 * 1717.8024</f>
        <v>240.49233600000002</v>
      </c>
      <c r="I6" s="25">
        <f>F6 * G6 * 2684.13</f>
        <v>375.77820000000003</v>
      </c>
      <c r="J6" s="25">
        <f>F6 * G6 * 0</f>
        <v>0</v>
      </c>
      <c r="K6" s="25">
        <f>F6 * G6 * 1635.347885</f>
        <v>228.9487039</v>
      </c>
      <c r="L6" s="25">
        <f>F6 * G6 * 673.178701</f>
        <v>94.245018140000013</v>
      </c>
      <c r="M6" s="25">
        <f>F6 * G6 * 343.56048</f>
        <v>48.098467200000002</v>
      </c>
      <c r="N6" s="26">
        <f>SUM(H6:M6)</f>
        <v>987.56272523999996</v>
      </c>
    </row>
    <row r="7" spans="1:14" s="14" customFormat="1" ht="15">
      <c r="B7" s="15"/>
      <c r="C7" s="16" t="s">
        <v>25</v>
      </c>
      <c r="D7" s="33" t="s">
        <v>26</v>
      </c>
      <c r="E7" s="33"/>
      <c r="F7" s="33"/>
      <c r="G7" s="33"/>
      <c r="H7" s="33"/>
      <c r="I7" s="33"/>
      <c r="J7" s="33"/>
      <c r="K7" s="33"/>
      <c r="L7" s="33"/>
      <c r="M7" s="33"/>
      <c r="N7" s="33"/>
    </row>
    <row r="8" spans="1:14" ht="25.5">
      <c r="B8" s="20">
        <v>2</v>
      </c>
      <c r="C8" s="21" t="s">
        <v>27</v>
      </c>
      <c r="D8" s="22" t="s">
        <v>28</v>
      </c>
      <c r="E8" s="22" t="s">
        <v>29</v>
      </c>
      <c r="F8" s="23">
        <v>2</v>
      </c>
      <c r="G8" s="24">
        <v>1</v>
      </c>
      <c r="H8" s="25">
        <f>F8 * G8 * 173.38776</f>
        <v>346.77551999999997</v>
      </c>
      <c r="I8" s="25">
        <f>F8 * G8 * 2426.158829</f>
        <v>4852.3176579999999</v>
      </c>
      <c r="J8" s="25">
        <f>F8 * G8 * 0.028182</f>
        <v>5.6363999999999997E-2</v>
      </c>
      <c r="K8" s="25">
        <f>F8 * G8 * 165.065148</f>
        <v>330.13029599999999</v>
      </c>
      <c r="L8" s="25">
        <f>F8 * G8 * 295.327993</f>
        <v>590.65598599999998</v>
      </c>
      <c r="M8" s="25">
        <f>F8 * G8 * 34.677552</f>
        <v>69.355103999999997</v>
      </c>
      <c r="N8" s="26">
        <f>SUM(H8:M8)</f>
        <v>6189.2909280000003</v>
      </c>
    </row>
    <row r="9" spans="1:14" s="14" customFormat="1" ht="15">
      <c r="B9" s="15"/>
      <c r="C9" s="16" t="s">
        <v>30</v>
      </c>
      <c r="D9" s="33" t="s">
        <v>31</v>
      </c>
      <c r="E9" s="33"/>
      <c r="F9" s="33"/>
      <c r="G9" s="33"/>
      <c r="H9" s="33"/>
      <c r="I9" s="33"/>
      <c r="J9" s="33"/>
      <c r="K9" s="33"/>
      <c r="L9" s="33"/>
      <c r="M9" s="33"/>
      <c r="N9" s="33"/>
    </row>
    <row r="10" spans="1:14" s="17" customFormat="1" ht="12.75">
      <c r="B10" s="18"/>
      <c r="C10" s="19" t="s">
        <v>32</v>
      </c>
      <c r="D10" s="34" t="s">
        <v>33</v>
      </c>
      <c r="E10" s="34"/>
      <c r="F10" s="34"/>
      <c r="G10" s="34"/>
      <c r="H10" s="34"/>
      <c r="I10" s="34"/>
      <c r="J10" s="34"/>
      <c r="K10" s="34"/>
      <c r="L10" s="34"/>
      <c r="M10" s="34"/>
      <c r="N10" s="34"/>
    </row>
    <row r="11" spans="1:14" s="17" customFormat="1" ht="12.75">
      <c r="B11" s="18"/>
      <c r="C11" s="19" t="s">
        <v>34</v>
      </c>
      <c r="D11" s="35" t="s">
        <v>35</v>
      </c>
      <c r="E11" s="35"/>
      <c r="F11" s="35"/>
      <c r="G11" s="35"/>
      <c r="H11" s="35"/>
      <c r="I11" s="35"/>
      <c r="J11" s="35"/>
      <c r="K11" s="35"/>
      <c r="L11" s="35"/>
      <c r="M11" s="35"/>
      <c r="N11" s="35"/>
    </row>
    <row r="12" spans="1:14">
      <c r="B12" s="20">
        <v>3</v>
      </c>
      <c r="C12" s="21" t="s">
        <v>36</v>
      </c>
      <c r="D12" s="22" t="s">
        <v>37</v>
      </c>
      <c r="E12" s="22" t="s">
        <v>38</v>
      </c>
      <c r="F12" s="23">
        <v>4.4999999999999998E-2</v>
      </c>
      <c r="G12" s="24">
        <v>1</v>
      </c>
      <c r="H12" s="25">
        <f>F12 * G12 * 12581.088</f>
        <v>566.14895999999999</v>
      </c>
      <c r="I12" s="25">
        <f>F12 * G12 * 11228.428096</f>
        <v>505.27926431999998</v>
      </c>
      <c r="J12" s="25">
        <f>F12 * G12 * 0</f>
        <v>0</v>
      </c>
      <c r="K12" s="25">
        <f>F12 * G12 * 11977.195776</f>
        <v>538.97380992000001</v>
      </c>
      <c r="L12" s="25">
        <f>F12 * G12 * 4040.959059</f>
        <v>181.84315765499997</v>
      </c>
      <c r="M12" s="25">
        <f>F12 * G12 * 2516.2176</f>
        <v>113.22979199999999</v>
      </c>
      <c r="N12" s="26">
        <f>SUM(H12:M12)</f>
        <v>1905.4749838949999</v>
      </c>
    </row>
    <row r="13" spans="1:14">
      <c r="B13" s="20">
        <v>4</v>
      </c>
      <c r="C13" s="21" t="s">
        <v>39</v>
      </c>
      <c r="D13" s="22" t="s">
        <v>40</v>
      </c>
      <c r="E13" s="22" t="s">
        <v>38</v>
      </c>
      <c r="F13" s="23">
        <v>4.4999999999999998E-2</v>
      </c>
      <c r="G13" s="24">
        <v>1</v>
      </c>
      <c r="H13" s="25">
        <f>F13 * G13 * 7016.376</f>
        <v>315.73692</v>
      </c>
      <c r="I13" s="25">
        <f>F13 * G13 * 4445.516133</f>
        <v>200.04822598499999</v>
      </c>
      <c r="J13" s="25">
        <f>F13 * G13 * 0</f>
        <v>0</v>
      </c>
      <c r="K13" s="25">
        <f>F13 * G13 * 6679.589952</f>
        <v>300.58154783999998</v>
      </c>
      <c r="L13" s="25">
        <f>F13 * G13 * 2061.971893</f>
        <v>92.788735184999993</v>
      </c>
      <c r="M13" s="25">
        <f>F13 * G13 * 1403.2752</f>
        <v>63.147384000000002</v>
      </c>
      <c r="N13" s="26">
        <f>SUM(H13:M13)</f>
        <v>972.30281300999991</v>
      </c>
    </row>
    <row r="14" spans="1:14" s="14" customFormat="1" ht="15">
      <c r="B14" s="15"/>
      <c r="C14" s="16" t="s">
        <v>41</v>
      </c>
      <c r="D14" s="33" t="s">
        <v>42</v>
      </c>
      <c r="E14" s="33"/>
      <c r="F14" s="33"/>
      <c r="G14" s="33"/>
      <c r="H14" s="33"/>
      <c r="I14" s="33"/>
      <c r="J14" s="33"/>
      <c r="K14" s="33"/>
      <c r="L14" s="33"/>
      <c r="M14" s="33"/>
      <c r="N14" s="33"/>
    </row>
    <row r="15" spans="1:14" s="17" customFormat="1" ht="12.75">
      <c r="B15" s="18"/>
      <c r="C15" s="19" t="s">
        <v>43</v>
      </c>
      <c r="D15" s="34" t="s">
        <v>44</v>
      </c>
      <c r="E15" s="34"/>
      <c r="F15" s="34"/>
      <c r="G15" s="34"/>
      <c r="H15" s="34"/>
      <c r="I15" s="34"/>
      <c r="J15" s="34"/>
      <c r="K15" s="34"/>
      <c r="L15" s="34"/>
      <c r="M15" s="34"/>
      <c r="N15" s="34"/>
    </row>
    <row r="16" spans="1:14" s="17" customFormat="1" ht="12.75">
      <c r="B16" s="18"/>
      <c r="C16" s="19" t="s">
        <v>45</v>
      </c>
      <c r="D16" s="35" t="s">
        <v>46</v>
      </c>
      <c r="E16" s="35"/>
      <c r="F16" s="35"/>
      <c r="G16" s="35"/>
      <c r="H16" s="35"/>
      <c r="I16" s="35"/>
      <c r="J16" s="35"/>
      <c r="K16" s="35"/>
      <c r="L16" s="35"/>
      <c r="M16" s="35"/>
      <c r="N16" s="35"/>
    </row>
    <row r="17" spans="2:14" ht="51">
      <c r="B17" s="20">
        <v>5</v>
      </c>
      <c r="C17" s="21" t="s">
        <v>47</v>
      </c>
      <c r="D17" s="22" t="s">
        <v>48</v>
      </c>
      <c r="E17" s="22" t="s">
        <v>49</v>
      </c>
      <c r="F17" s="23">
        <v>2.5</v>
      </c>
      <c r="G17" s="24">
        <v>1</v>
      </c>
      <c r="H17" s="25">
        <f>F17 * G17 * 474.93648</f>
        <v>1187.3412000000001</v>
      </c>
      <c r="I17" s="25">
        <f>F17 * G17 * 290.90961</f>
        <v>727.27402499999994</v>
      </c>
      <c r="J17" s="25">
        <f>F17 * G17 * 0</f>
        <v>0</v>
      </c>
      <c r="K17" s="25">
        <f>F17 * G17 * 452.139529</f>
        <v>1130.3488224999999</v>
      </c>
      <c r="L17" s="25">
        <f>F17 * G17 * 138.518643</f>
        <v>346.29660749999999</v>
      </c>
      <c r="M17" s="25">
        <f>F17 * G17 * 94.987296</f>
        <v>237.46824000000001</v>
      </c>
      <c r="N17" s="26">
        <f>SUM(H17:M17)</f>
        <v>3628.7288949999997</v>
      </c>
    </row>
    <row r="18" spans="2:14" ht="51">
      <c r="B18" s="20">
        <v>6</v>
      </c>
      <c r="C18" s="21" t="s">
        <v>50</v>
      </c>
      <c r="D18" s="22" t="s">
        <v>51</v>
      </c>
      <c r="E18" s="22" t="s">
        <v>49</v>
      </c>
      <c r="F18" s="23">
        <v>4</v>
      </c>
      <c r="G18" s="24">
        <v>1</v>
      </c>
      <c r="H18" s="25">
        <f>F18 * G18 * 499.50216</f>
        <v>1998.00864</v>
      </c>
      <c r="I18" s="25">
        <f>F18 * G18 * 372.260322</f>
        <v>1489.0412879999999</v>
      </c>
      <c r="J18" s="25">
        <f>F18 * G18 * 0</f>
        <v>0</v>
      </c>
      <c r="K18" s="25">
        <f>F18 * G18 * 475.526056</f>
        <v>1902.1042239999999</v>
      </c>
      <c r="L18" s="25">
        <f>F18 * G18 * 152.678436999999</f>
        <v>610.71374799999603</v>
      </c>
      <c r="M18" s="25">
        <f>F18 * G18 * 99.900432</f>
        <v>399.60172799999998</v>
      </c>
      <c r="N18" s="26">
        <f>SUM(H18:M18)</f>
        <v>6399.4696279999953</v>
      </c>
    </row>
    <row r="19" spans="2:14" s="17" customFormat="1" ht="12.75">
      <c r="B19" s="18"/>
      <c r="C19" s="19" t="s">
        <v>52</v>
      </c>
      <c r="D19" s="34" t="s">
        <v>53</v>
      </c>
      <c r="E19" s="34"/>
      <c r="F19" s="34"/>
      <c r="G19" s="34"/>
      <c r="H19" s="34"/>
      <c r="I19" s="34"/>
      <c r="J19" s="34"/>
      <c r="K19" s="34"/>
      <c r="L19" s="34"/>
      <c r="M19" s="34"/>
      <c r="N19" s="34"/>
    </row>
    <row r="20" spans="2:14" s="17" customFormat="1" ht="12.75">
      <c r="B20" s="18"/>
      <c r="C20" s="19" t="s">
        <v>54</v>
      </c>
      <c r="D20" s="35" t="s">
        <v>55</v>
      </c>
      <c r="E20" s="35"/>
      <c r="F20" s="35"/>
      <c r="G20" s="35"/>
      <c r="H20" s="35"/>
      <c r="I20" s="35"/>
      <c r="J20" s="35"/>
      <c r="K20" s="35"/>
      <c r="L20" s="35"/>
      <c r="M20" s="35"/>
      <c r="N20" s="35"/>
    </row>
    <row r="21" spans="2:14">
      <c r="B21" s="20">
        <v>7</v>
      </c>
      <c r="C21" s="21" t="s">
        <v>56</v>
      </c>
      <c r="D21" s="22" t="s">
        <v>57</v>
      </c>
      <c r="E21" s="22" t="s">
        <v>58</v>
      </c>
      <c r="F21" s="23">
        <v>0.01</v>
      </c>
      <c r="G21" s="24">
        <v>1</v>
      </c>
      <c r="H21" s="25">
        <f>F21 * G21 * 10812.816</f>
        <v>108.12816000000001</v>
      </c>
      <c r="I21" s="25">
        <f>F21 * G21 * 14548.102763</f>
        <v>145.48102763</v>
      </c>
      <c r="J21" s="25">
        <f>F21 * G21 * 0</f>
        <v>0</v>
      </c>
      <c r="K21" s="25">
        <f>F21 * G21 * 10293.800832</f>
        <v>102.93800832000001</v>
      </c>
      <c r="L21" s="25">
        <f>F21 * G21 * 3989.72333499999</f>
        <v>39.897233349999901</v>
      </c>
      <c r="M21" s="25">
        <f>F21 * G21 * 2162.5632</f>
        <v>21.625632</v>
      </c>
      <c r="N21" s="26">
        <f>SUM(H21:M21)</f>
        <v>418.07006129999991</v>
      </c>
    </row>
    <row r="22" spans="2:14" s="17" customFormat="1" ht="12.75">
      <c r="B22" s="18"/>
      <c r="C22" s="19" t="s">
        <v>59</v>
      </c>
      <c r="D22" s="35" t="s">
        <v>60</v>
      </c>
      <c r="E22" s="35"/>
      <c r="F22" s="35"/>
      <c r="G22" s="35"/>
      <c r="H22" s="35"/>
      <c r="I22" s="35"/>
      <c r="J22" s="35"/>
      <c r="K22" s="35"/>
      <c r="L22" s="35"/>
      <c r="M22" s="35"/>
      <c r="N22" s="35"/>
    </row>
    <row r="23" spans="2:14" ht="25.5">
      <c r="B23" s="20">
        <v>8</v>
      </c>
      <c r="C23" s="21" t="s">
        <v>61</v>
      </c>
      <c r="D23" s="22" t="s">
        <v>62</v>
      </c>
      <c r="E23" s="22" t="s">
        <v>58</v>
      </c>
      <c r="F23" s="23">
        <v>0.04</v>
      </c>
      <c r="G23" s="24">
        <v>1</v>
      </c>
      <c r="H23" s="25">
        <f>F23 * G23 * 28319.28</f>
        <v>1132.7711999999999</v>
      </c>
      <c r="I23" s="25">
        <f>F23 * G23 * 33943.594037</f>
        <v>1357.7437614800001</v>
      </c>
      <c r="J23" s="25">
        <f>F23 * G23 * 0</f>
        <v>0</v>
      </c>
      <c r="K23" s="25">
        <f>F23 * G23 * 26959.95456</f>
        <v>1078.3981824</v>
      </c>
      <c r="L23" s="25">
        <f>F23 * G23 * 10010.545225</f>
        <v>400.421809</v>
      </c>
      <c r="M23" s="25">
        <f>F23 * G23 * 5663.856</f>
        <v>226.55423999999999</v>
      </c>
      <c r="N23" s="26">
        <f>SUM(H23:M23)</f>
        <v>4195.8891928800003</v>
      </c>
    </row>
    <row r="24" spans="2:14" s="14" customFormat="1" ht="15">
      <c r="B24" s="15"/>
      <c r="C24" s="16" t="s">
        <v>63</v>
      </c>
      <c r="D24" s="33" t="s">
        <v>64</v>
      </c>
      <c r="E24" s="33"/>
      <c r="F24" s="33"/>
      <c r="G24" s="33"/>
      <c r="H24" s="33"/>
      <c r="I24" s="33"/>
      <c r="J24" s="33"/>
      <c r="K24" s="33"/>
      <c r="L24" s="33"/>
      <c r="M24" s="33"/>
      <c r="N24" s="33"/>
    </row>
    <row r="25" spans="2:14" ht="25.5">
      <c r="B25" s="20">
        <v>9</v>
      </c>
      <c r="C25" s="21" t="s">
        <v>65</v>
      </c>
      <c r="D25" s="22" t="s">
        <v>66</v>
      </c>
      <c r="E25" s="22" t="s">
        <v>67</v>
      </c>
      <c r="F25" s="23">
        <v>0.35</v>
      </c>
      <c r="G25" s="24">
        <v>2</v>
      </c>
      <c r="H25" s="25">
        <f>F25 * G25 * 2443.6344</f>
        <v>1710.5440799999999</v>
      </c>
      <c r="I25" s="25">
        <f>F25 * G25 * 600.324723</f>
        <v>420.22730609999996</v>
      </c>
      <c r="J25" s="25">
        <f>F25 * G25 * 0</f>
        <v>0</v>
      </c>
      <c r="K25" s="25">
        <f>F25 * G25 * 2326.339949</f>
        <v>1628.4379643</v>
      </c>
      <c r="L25" s="25">
        <f>F25 * G25 * 618.127237999999</f>
        <v>432.68906659999931</v>
      </c>
      <c r="M25" s="25">
        <f>F25 * G25 * 488.72688</f>
        <v>342.10881599999999</v>
      </c>
      <c r="N25" s="26">
        <f>SUM(H25:M25)</f>
        <v>4534.0072329999985</v>
      </c>
    </row>
    <row r="26" spans="2:14" s="14" customFormat="1" ht="15">
      <c r="B26" s="15"/>
      <c r="C26" s="16" t="s">
        <v>68</v>
      </c>
      <c r="D26" s="33" t="s">
        <v>69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</row>
    <row r="27" spans="2:14" s="17" customFormat="1" ht="12.75">
      <c r="B27" s="18"/>
      <c r="C27" s="19" t="s">
        <v>70</v>
      </c>
      <c r="D27" s="34" t="s">
        <v>71</v>
      </c>
      <c r="E27" s="34"/>
      <c r="F27" s="34"/>
      <c r="G27" s="34"/>
      <c r="H27" s="34"/>
      <c r="I27" s="34"/>
      <c r="J27" s="34"/>
      <c r="K27" s="34"/>
      <c r="L27" s="34"/>
      <c r="M27" s="34"/>
      <c r="N27" s="34"/>
    </row>
    <row r="28" spans="2:14">
      <c r="B28" s="20">
        <v>10</v>
      </c>
      <c r="C28" s="21" t="s">
        <v>72</v>
      </c>
      <c r="D28" s="22" t="s">
        <v>73</v>
      </c>
      <c r="E28" s="22" t="s">
        <v>74</v>
      </c>
      <c r="F28" s="23">
        <v>1</v>
      </c>
      <c r="G28" s="24">
        <v>1</v>
      </c>
      <c r="H28" s="25">
        <f>F28 * G28 * 256.46064</f>
        <v>256.46064000000001</v>
      </c>
      <c r="I28" s="25">
        <f>F28 * G28 * 87.374299</f>
        <v>87.374298999999993</v>
      </c>
      <c r="J28" s="25">
        <f>F28 * G28 * 0</f>
        <v>0</v>
      </c>
      <c r="K28" s="25">
        <f>F28 * G28 * 244.150529</f>
        <v>244.15052900000001</v>
      </c>
      <c r="L28" s="25">
        <f>F28 * G28 * 67.443786</f>
        <v>67.443786000000003</v>
      </c>
      <c r="M28" s="25">
        <f>F28 * G28 * 51.292128</f>
        <v>51.292127999999998</v>
      </c>
      <c r="N28" s="26">
        <f>SUM(H28:M28)</f>
        <v>706.72138200000018</v>
      </c>
    </row>
    <row r="29" spans="2:14">
      <c r="B29" s="20">
        <v>11</v>
      </c>
      <c r="C29" s="21" t="s">
        <v>75</v>
      </c>
      <c r="D29" s="22" t="s">
        <v>76</v>
      </c>
      <c r="E29" s="22" t="s">
        <v>77</v>
      </c>
      <c r="F29" s="23">
        <v>2.3E-2</v>
      </c>
      <c r="G29" s="24">
        <v>1</v>
      </c>
      <c r="H29" s="25">
        <f>F29 * G29 * 48388.8</f>
        <v>1112.9424000000001</v>
      </c>
      <c r="I29" s="25">
        <f>F29 * G29 * 59115.7592339999</f>
        <v>1359.6624623819998</v>
      </c>
      <c r="J29" s="25">
        <f>F29 * G29 * 0</f>
        <v>0</v>
      </c>
      <c r="K29" s="25">
        <f>F29 * G29 * 46066.1376</f>
        <v>1059.5211648</v>
      </c>
      <c r="L29" s="25">
        <f>F29 * G29 * 17222.712196</f>
        <v>396.12238050799999</v>
      </c>
      <c r="M29" s="25">
        <f>F29 * G29 * 9677.76</f>
        <v>222.58848</v>
      </c>
      <c r="N29" s="26">
        <f>SUM(H29:M29)</f>
        <v>4150.8368876899995</v>
      </c>
    </row>
    <row r="30" spans="2:14" s="14" customFormat="1" ht="15">
      <c r="B30" s="15"/>
      <c r="C30" s="16" t="s">
        <v>78</v>
      </c>
      <c r="D30" s="33" t="s">
        <v>79</v>
      </c>
      <c r="E30" s="33"/>
      <c r="F30" s="33"/>
      <c r="G30" s="33"/>
      <c r="H30" s="33"/>
      <c r="I30" s="33"/>
      <c r="J30" s="33"/>
      <c r="K30" s="33"/>
      <c r="L30" s="33"/>
      <c r="M30" s="33"/>
      <c r="N30" s="33"/>
    </row>
    <row r="31" spans="2:14" s="17" customFormat="1" ht="12.75">
      <c r="B31" s="18"/>
      <c r="C31" s="19" t="s">
        <v>80</v>
      </c>
      <c r="D31" s="34" t="s">
        <v>81</v>
      </c>
      <c r="E31" s="34"/>
      <c r="F31" s="34"/>
      <c r="G31" s="34"/>
      <c r="H31" s="34"/>
      <c r="I31" s="34"/>
      <c r="J31" s="34"/>
      <c r="K31" s="34"/>
      <c r="L31" s="34"/>
      <c r="M31" s="34"/>
      <c r="N31" s="34"/>
    </row>
    <row r="32" spans="2:14" s="17" customFormat="1" ht="12.75">
      <c r="B32" s="18"/>
      <c r="C32" s="19" t="s">
        <v>82</v>
      </c>
      <c r="D32" s="35" t="s">
        <v>83</v>
      </c>
      <c r="E32" s="35"/>
      <c r="F32" s="35"/>
      <c r="G32" s="35"/>
      <c r="H32" s="35"/>
      <c r="I32" s="35"/>
      <c r="J32" s="35"/>
      <c r="K32" s="35"/>
      <c r="L32" s="35"/>
      <c r="M32" s="35"/>
      <c r="N32" s="35"/>
    </row>
    <row r="33" spans="2:14" ht="25.5">
      <c r="B33" s="20">
        <v>12</v>
      </c>
      <c r="C33" s="21" t="s">
        <v>84</v>
      </c>
      <c r="D33" s="22" t="s">
        <v>85</v>
      </c>
      <c r="E33" s="22" t="s">
        <v>86</v>
      </c>
      <c r="F33" s="23">
        <v>9.6</v>
      </c>
      <c r="G33" s="24">
        <v>1</v>
      </c>
      <c r="H33" s="25">
        <f>F33 * G33 * 950.793</f>
        <v>9127.612799999999</v>
      </c>
      <c r="I33" s="25">
        <f>F33 * G33 * 7.170829</f>
        <v>68.8399584</v>
      </c>
      <c r="J33" s="25">
        <f>F33 * G33 * 0</f>
        <v>0</v>
      </c>
      <c r="K33" s="25">
        <f>F33 * G33 * 905.154935999999</f>
        <v>8689.4873855999904</v>
      </c>
      <c r="L33" s="25">
        <f>F33 * G33 * 216.620762</f>
        <v>2079.5593152000001</v>
      </c>
      <c r="M33" s="25">
        <f>F33 * G33 * 190.1586</f>
        <v>1825.5225600000001</v>
      </c>
      <c r="N33" s="26">
        <f>SUM(H33:M33)</f>
        <v>21791.022019199991</v>
      </c>
    </row>
    <row r="34" spans="2:14" s="17" customFormat="1" ht="12.75">
      <c r="B34" s="18"/>
      <c r="C34" s="19" t="s">
        <v>87</v>
      </c>
      <c r="D34" s="35" t="s">
        <v>88</v>
      </c>
      <c r="E34" s="35"/>
      <c r="F34" s="35"/>
      <c r="G34" s="35"/>
      <c r="H34" s="35"/>
      <c r="I34" s="35"/>
      <c r="J34" s="35"/>
      <c r="K34" s="35"/>
      <c r="L34" s="35"/>
      <c r="M34" s="35"/>
      <c r="N34" s="35"/>
    </row>
    <row r="35" spans="2:14" ht="25.5">
      <c r="B35" s="20">
        <v>13</v>
      </c>
      <c r="C35" s="21" t="s">
        <v>89</v>
      </c>
      <c r="D35" s="22" t="s">
        <v>90</v>
      </c>
      <c r="E35" s="22" t="s">
        <v>91</v>
      </c>
      <c r="F35" s="23">
        <v>28.8</v>
      </c>
      <c r="G35" s="24">
        <v>1</v>
      </c>
      <c r="H35" s="25">
        <f>F35 * G35 * 223.97976</f>
        <v>6450.617088</v>
      </c>
      <c r="I35" s="25">
        <f>F35 * G35 * 0</f>
        <v>0</v>
      </c>
      <c r="J35" s="25">
        <f>F35 * G35 * 0</f>
        <v>0</v>
      </c>
      <c r="K35" s="25">
        <f>F35 * G35 * 213.228732</f>
        <v>6140.9874816000001</v>
      </c>
      <c r="L35" s="25">
        <f>F35 * G35 * 50.8514689999999</f>
        <v>1464.5223071999972</v>
      </c>
      <c r="M35" s="25">
        <f>F35 * G35 * 44.795952</f>
        <v>1290.1234176</v>
      </c>
      <c r="N35" s="26">
        <f>SUM(H35:M35)</f>
        <v>15346.250294399997</v>
      </c>
    </row>
    <row r="36" spans="2:14" s="17" customFormat="1" ht="12.75">
      <c r="B36" s="18"/>
      <c r="C36" s="19" t="s">
        <v>92</v>
      </c>
      <c r="D36" s="35" t="s">
        <v>93</v>
      </c>
      <c r="E36" s="35"/>
      <c r="F36" s="35"/>
      <c r="G36" s="35"/>
      <c r="H36" s="35"/>
      <c r="I36" s="35"/>
      <c r="J36" s="35"/>
      <c r="K36" s="35"/>
      <c r="L36" s="35"/>
      <c r="M36" s="35"/>
      <c r="N36" s="35"/>
    </row>
    <row r="37" spans="2:14" s="17" customFormat="1" ht="12.75">
      <c r="B37" s="18"/>
      <c r="C37" s="19" t="s">
        <v>94</v>
      </c>
      <c r="D37" s="36" t="s">
        <v>95</v>
      </c>
      <c r="E37" s="36"/>
      <c r="F37" s="36"/>
      <c r="G37" s="36"/>
      <c r="H37" s="36"/>
      <c r="I37" s="36"/>
      <c r="J37" s="36"/>
      <c r="K37" s="36"/>
      <c r="L37" s="36"/>
      <c r="M37" s="36"/>
      <c r="N37" s="36"/>
    </row>
    <row r="38" spans="2:14" ht="25.5">
      <c r="B38" s="20">
        <v>14</v>
      </c>
      <c r="C38" s="21" t="s">
        <v>96</v>
      </c>
      <c r="D38" s="22" t="s">
        <v>97</v>
      </c>
      <c r="E38" s="22" t="s">
        <v>98</v>
      </c>
      <c r="F38" s="23">
        <v>0.2</v>
      </c>
      <c r="G38" s="24">
        <v>1</v>
      </c>
      <c r="H38" s="25">
        <f>F38 * G38 * 13548.864</f>
        <v>2709.7728000000002</v>
      </c>
      <c r="I38" s="25">
        <f>F38 * G38 * 0</f>
        <v>0</v>
      </c>
      <c r="J38" s="25">
        <f>F38 * G38 * 0</f>
        <v>0</v>
      </c>
      <c r="K38" s="25">
        <f>F38 * G38 * 12898.518528</f>
        <v>2579.7037056000004</v>
      </c>
      <c r="L38" s="25">
        <f>F38 * G38 * 3076.079887</f>
        <v>615.21597740000004</v>
      </c>
      <c r="M38" s="25">
        <f>F38 * G38 * 2709.7728</f>
        <v>541.95456000000001</v>
      </c>
      <c r="N38" s="26">
        <f>SUM(H38:M38)</f>
        <v>6446.6470430000008</v>
      </c>
    </row>
    <row r="39" spans="2:14" s="27" customFormat="1" ht="20.100000000000001" customHeight="1">
      <c r="B39" s="37" t="s">
        <v>99</v>
      </c>
      <c r="C39" s="37"/>
      <c r="D39" s="37"/>
      <c r="E39" s="37"/>
      <c r="F39" s="37"/>
      <c r="G39" s="37"/>
      <c r="H39" s="28">
        <f t="shared" ref="H39:N39" si="0">SUM(H4:H38)</f>
        <v>27263.352743999996</v>
      </c>
      <c r="I39" s="28">
        <f t="shared" si="0"/>
        <v>11589.067476296997</v>
      </c>
      <c r="J39" s="28">
        <f t="shared" si="0"/>
        <v>5.6363999999999997E-2</v>
      </c>
      <c r="K39" s="28">
        <f t="shared" si="0"/>
        <v>25954.711825779992</v>
      </c>
      <c r="L39" s="28">
        <f t="shared" si="0"/>
        <v>7412.4151277379924</v>
      </c>
      <c r="M39" s="28">
        <f t="shared" si="0"/>
        <v>5452.6705487999998</v>
      </c>
      <c r="N39" s="29">
        <f t="shared" si="0"/>
        <v>77672.274086614983</v>
      </c>
    </row>
  </sheetData>
  <mergeCells count="25">
    <mergeCell ref="D32:N32"/>
    <mergeCell ref="D34:N34"/>
    <mergeCell ref="D36:N36"/>
    <mergeCell ref="D37:N37"/>
    <mergeCell ref="B39:G39"/>
    <mergeCell ref="D24:N24"/>
    <mergeCell ref="D26:N26"/>
    <mergeCell ref="D27:N27"/>
    <mergeCell ref="D30:N30"/>
    <mergeCell ref="D31:N31"/>
    <mergeCell ref="D15:N15"/>
    <mergeCell ref="D16:N16"/>
    <mergeCell ref="D19:N19"/>
    <mergeCell ref="D20:N20"/>
    <mergeCell ref="D22:N22"/>
    <mergeCell ref="D7:N7"/>
    <mergeCell ref="D9:N9"/>
    <mergeCell ref="D10:N10"/>
    <mergeCell ref="D11:N11"/>
    <mergeCell ref="D14:N14"/>
    <mergeCell ref="B2:K3"/>
    <mergeCell ref="L2:M2"/>
    <mergeCell ref="L3:M3"/>
    <mergeCell ref="D4:N4"/>
    <mergeCell ref="D5:N5"/>
  </mergeCells>
  <pageMargins left="0.7" right="0.7" top="0.75" bottom="0.75" header="0.3" footer="0.3"/>
  <pageSetup paperSize="9" scale="61" fitToHeight="0" orientation="landscape" horizontalDpi="4294967295" verticalDpi="4294967295" r:id="rId1"/>
  <headerFooter>
    <oddHeader>&amp;C&amp;KCCCCCC&amp;"Arial"Д. Ульянова 9</oddHeader>
    <oddFooter>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Смета</vt:lpstr>
      <vt:lpstr>Смета!Заголовки_для_печати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Д. Ульянова 9</dc:title>
  <dc:creator/>
  <cp:lastModifiedBy/>
  <cp:lastPrinted>2022-03-22T08:06:03Z</cp:lastPrinted>
  <dcterms:created xsi:type="dcterms:W3CDTF">2022-03-22T08:06:03Z</dcterms:created>
  <dcterms:modified xsi:type="dcterms:W3CDTF">2022-03-22T08:06:49Z</dcterms:modified>
</cp:coreProperties>
</file>