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840" yWindow="1095" windowWidth="19335" windowHeight="6795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41" i="1"/>
  <c r="L41"/>
  <c r="K41"/>
  <c r="J41"/>
  <c r="I41"/>
  <c r="H41"/>
  <c r="N41" s="1"/>
  <c r="M38"/>
  <c r="L38"/>
  <c r="K38"/>
  <c r="J38"/>
  <c r="I38"/>
  <c r="H38"/>
  <c r="N38" s="1"/>
  <c r="M36"/>
  <c r="L36"/>
  <c r="K36"/>
  <c r="J36"/>
  <c r="I36"/>
  <c r="H36"/>
  <c r="N36" s="1"/>
  <c r="M32"/>
  <c r="L32"/>
  <c r="K32"/>
  <c r="J32"/>
  <c r="I32"/>
  <c r="H32"/>
  <c r="N32" s="1"/>
  <c r="M30"/>
  <c r="L30"/>
  <c r="K30"/>
  <c r="J30"/>
  <c r="I30"/>
  <c r="H30"/>
  <c r="N30" s="1"/>
  <c r="M28"/>
  <c r="L28"/>
  <c r="K28"/>
  <c r="J28"/>
  <c r="I28"/>
  <c r="H28"/>
  <c r="N28" s="1"/>
  <c r="M26"/>
  <c r="L26"/>
  <c r="K26"/>
  <c r="J26"/>
  <c r="I26"/>
  <c r="H26"/>
  <c r="N26" s="1"/>
  <c r="M25"/>
  <c r="L25"/>
  <c r="K25"/>
  <c r="J25"/>
  <c r="I25"/>
  <c r="H25"/>
  <c r="N25" s="1"/>
  <c r="M23"/>
  <c r="L23"/>
  <c r="K23"/>
  <c r="J23"/>
  <c r="I23"/>
  <c r="H23"/>
  <c r="N23" s="1"/>
  <c r="M21"/>
  <c r="L21"/>
  <c r="K21"/>
  <c r="J21"/>
  <c r="I21"/>
  <c r="H21"/>
  <c r="N21" s="1"/>
  <c r="M19"/>
  <c r="L19"/>
  <c r="K19"/>
  <c r="J19"/>
  <c r="I19"/>
  <c r="H19"/>
  <c r="N19" s="1"/>
  <c r="M17"/>
  <c r="L17"/>
  <c r="K17"/>
  <c r="J17"/>
  <c r="I17"/>
  <c r="H17"/>
  <c r="N17" s="1"/>
  <c r="M15"/>
  <c r="L15"/>
  <c r="K15"/>
  <c r="J15"/>
  <c r="I15"/>
  <c r="H15"/>
  <c r="N15" s="1"/>
  <c r="M14"/>
  <c r="L14"/>
  <c r="K14"/>
  <c r="J14"/>
  <c r="I14"/>
  <c r="H14"/>
  <c r="N14" s="1"/>
  <c r="M10"/>
  <c r="L10"/>
  <c r="K10"/>
  <c r="J10"/>
  <c r="I10"/>
  <c r="H10"/>
  <c r="N10" s="1"/>
  <c r="M6"/>
  <c r="M42" s="1"/>
  <c r="L6"/>
  <c r="L42" s="1"/>
  <c r="K6"/>
  <c r="K42" s="1"/>
  <c r="J6"/>
  <c r="J42" s="1"/>
  <c r="I6"/>
  <c r="I42" s="1"/>
  <c r="H6"/>
  <c r="H42" s="1"/>
  <c r="N6" l="1"/>
  <c r="N42" s="1"/>
</calcChain>
</file>

<file path=xl/sharedStrings.xml><?xml version="1.0" encoding="utf-8"?>
<sst xmlns="http://schemas.openxmlformats.org/spreadsheetml/2006/main" count="112" uniqueCount="104">
  <si>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</si>
  <si>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</si>
  <si>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</si>
  <si>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</si>
  <si>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</si>
  <si>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</si>
  <si>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</si>
  <si>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</si>
  <si>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</si>
  <si>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</si>
  <si>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</si>
  <si>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</si>
  <si>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</si>
  <si>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</si>
  <si>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Д.Ульянова 12</t>
  </si>
  <si>
    <t>Дата изменения:</t>
  </si>
  <si>
    <t>22.03.2022</t>
  </si>
  <si>
    <t>Общая площадь, кв.м:</t>
  </si>
  <si>
    <t>1.1</t>
  </si>
  <si>
    <t>Фундаменты</t>
  </si>
  <si>
    <t>1.1.7</t>
  </si>
  <si>
    <t>Восстановление (ремонт)  освещения и  вентиляции  подвала</t>
  </si>
  <si>
    <t>1.1.7.3</t>
  </si>
  <si>
    <t>Замена ламп накаливания</t>
  </si>
  <si>
    <t>100 шт.</t>
  </si>
  <si>
    <t>2.1</t>
  </si>
  <si>
    <t>Система теплоснабжения</t>
  </si>
  <si>
    <t>2.1.2</t>
  </si>
  <si>
    <t>Ремонт,  модернизация внутридомовых отопительных сетей</t>
  </si>
  <si>
    <t>2.1.2.2</t>
  </si>
  <si>
    <t>Смена отдельных участков трубопроводов из стальных электросварных труб</t>
  </si>
  <si>
    <t>2.1.2.2.3</t>
  </si>
  <si>
    <t>Смена отдельных участков трубопроводов из стальных электросварных труб   диаметром 65 мм</t>
  </si>
  <si>
    <t>100 м трубопровода</t>
  </si>
  <si>
    <t>2.2</t>
  </si>
  <si>
    <t>Системы холодного и горячего водоснабжения</t>
  </si>
  <si>
    <t>2.2.1</t>
  </si>
  <si>
    <t>Ремонт,  замена  внутридомовых сетей водоснабжения</t>
  </si>
  <si>
    <t>2.2.1.1</t>
  </si>
  <si>
    <t>Смена отдельных участков трубопроводов  горячего водоснабжения из стальных водогазопроводных оцинкованных труб при соединении труб на резьбе</t>
  </si>
  <si>
    <t>2.2.1.1.2</t>
  </si>
  <si>
    <t>Смена отдельных участков трубопроводов   водоснабжения из стальных водогазопроводных оцинкованных труб диаметром  20 мм</t>
  </si>
  <si>
    <t>100 м трубопроводов</t>
  </si>
  <si>
    <t>2.2.1.1.4</t>
  </si>
  <si>
    <t>Смена отдельных участков трубопроводов водоснабжения из стальных водогазопроводных оцинкованных труб диаметром 32 мм</t>
  </si>
  <si>
    <t>2.2.1.3</t>
  </si>
  <si>
    <t>Смена отдельных участков трубопроводов  водоснабжения из стальных электросварных труб</t>
  </si>
  <si>
    <t>2.2.1.3.2</t>
  </si>
  <si>
    <t>Смена отдельных участков трубопроводов  водоснабжения из стальных электросварных труб диаметром 50 мм</t>
  </si>
  <si>
    <t>2.2.1.5</t>
  </si>
  <si>
    <t>Замена внутренних водопроводов из стальных труб на металлопластиковые</t>
  </si>
  <si>
    <t>2.2.1.5.2</t>
  </si>
  <si>
    <t>Замена внутренних водопроводов из стальных труб   на металлопластиковые, диаметром 25 мм</t>
  </si>
  <si>
    <t>2.2.1.7</t>
  </si>
  <si>
    <t>Смена сгонов у трубопроводов</t>
  </si>
  <si>
    <t>2.2.1.7.1</t>
  </si>
  <si>
    <t>Смена сгонов у трубопроводов диаметром до 20 мм</t>
  </si>
  <si>
    <t>100 сгонов</t>
  </si>
  <si>
    <t>2.2.1.8</t>
  </si>
  <si>
    <t>Уплотнение сгонов</t>
  </si>
  <si>
    <t>2.2.1.8.1</t>
  </si>
  <si>
    <t>Уплотнение сгонов с применением льняной пряди или асбестового шнура (без разборки сгонов) диаметром до 20 мм</t>
  </si>
  <si>
    <t>1 сгон</t>
  </si>
  <si>
    <t>2.2.6</t>
  </si>
  <si>
    <t>Ремонт оборудования, приборов и арматуры водопроводной сети общего пользования</t>
  </si>
  <si>
    <t>2.2.6.1</t>
  </si>
  <si>
    <t>Смена вентилей и клапанов обратных муфтовых диаметром до 20 мм</t>
  </si>
  <si>
    <t>2.2.6.2</t>
  </si>
  <si>
    <t>Смена вентилей и клапанов обратных муфтовых диаметром до 32  мм</t>
  </si>
  <si>
    <t>2.3</t>
  </si>
  <si>
    <t>Система водоотведения</t>
  </si>
  <si>
    <t>2.3.4</t>
  </si>
  <si>
    <t>Устранение засоров внутренних канализационных трубопроводов</t>
  </si>
  <si>
    <t>100 м трубы</t>
  </si>
  <si>
    <t>2.3.10</t>
  </si>
  <si>
    <t>Прокладка внутренних трубопроводов канализации из полипропиленовых труб</t>
  </si>
  <si>
    <t>2.3.10.2</t>
  </si>
  <si>
    <t>Прокладка внутренних трубопроводов канализации из полипропиленовых труб диаметром 110 мм</t>
  </si>
  <si>
    <t>2.5</t>
  </si>
  <si>
    <t>Внутридомовое электро-, радио- и телеоборудование</t>
  </si>
  <si>
    <t>2.5.4</t>
  </si>
  <si>
    <t>Ремонт, замена  внутридомовых электрических сетей</t>
  </si>
  <si>
    <t>1000 пог.м.</t>
  </si>
  <si>
    <t>2.6</t>
  </si>
  <si>
    <t>Подготовка многоквартирного дома к сезонной эксплуатации, проведение технических осмотров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</si>
  <si>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</si>
  <si>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</si>
  <si>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</si>
  <si>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</si>
  <si>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</si>
  <si>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</si>
  <si>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</si>
  <si>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</si>
  <si>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</si>
  <si>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</si>
  <si>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</si>
  <si>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3.3</t>
  </si>
  <si>
    <t>Ремонт и установка объектов благоустройства придомовой территории</t>
  </si>
  <si>
    <t>3.3.1</t>
  </si>
  <si>
    <t>Ремонт  объектов  внешнего  благоустройства</t>
  </si>
  <si>
    <t>3.3.1.5</t>
  </si>
  <si>
    <t>Ремонт асфальтобетонного покрытия проездов</t>
  </si>
  <si>
    <t>100 м2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</si>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</sst>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b/>
      <sz val="9"/>
      <color rgb="FFFFFFFF"/>
      <name val="Calibri"/>
      <family val="2"/>
      <charset val="204"/>
    </font>
    <font>
      <b/>
      <sz val="18"/>
      <color rgb="FF000099"/>
      <name val="Calibri"/>
      <family val="2"/>
      <charset val="204"/>
    </font>
    <font>
      <i/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0"/>
      <color rgb="FF707070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0"/>
      <color rgb="FFFFFFFF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2"/>
  <sheetViews>
    <sheetView tabSelected="1" workbookViewId="0">
      <pane ySplit="1" topLeftCell="A2" activePane="bottomLeft" state="frozen"/>
      <selection pane="bottomLeft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>
      <c r="B6" s="20">
        <v>1</v>
      </c>
      <c r="C6" s="21" t="s">
        <v>22</v>
      </c>
      <c r="D6" s="22" t="s">
        <v>23</v>
      </c>
      <c r="E6" s="22" t="s">
        <v>24</v>
      </c>
      <c r="F6" s="23">
        <v>0.55000000000000004</v>
      </c>
      <c r="G6" s="24">
        <v>1</v>
      </c>
      <c r="H6" s="25">
        <f>F6 * G6 * 1717.8024</f>
        <v>944.79132000000004</v>
      </c>
      <c r="I6" s="25">
        <f>F6 * G6 * 2684.13</f>
        <v>1476.2715000000003</v>
      </c>
      <c r="J6" s="25">
        <f>F6 * G6 * 0</f>
        <v>0</v>
      </c>
      <c r="K6" s="25">
        <f>F6 * G6 * 1635.347885</f>
        <v>899.44133675</v>
      </c>
      <c r="L6" s="25">
        <f>F6 * G6 * 673.178701</f>
        <v>370.24828555000005</v>
      </c>
      <c r="M6" s="25">
        <f>F6 * G6 * 343.56048</f>
        <v>188.95826400000001</v>
      </c>
      <c r="N6" s="26">
        <f>SUM(H6:M6)</f>
        <v>3879.7107063000003</v>
      </c>
    </row>
    <row r="7" spans="1:14" s="14" customFormat="1" ht="15">
      <c r="B7" s="15"/>
      <c r="C7" s="16" t="s">
        <v>25</v>
      </c>
      <c r="D7" s="33" t="s">
        <v>26</v>
      </c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17" customFormat="1" ht="12.75">
      <c r="B8" s="18"/>
      <c r="C8" s="19" t="s">
        <v>27</v>
      </c>
      <c r="D8" s="34" t="s">
        <v>28</v>
      </c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s="17" customFormat="1" ht="12.75">
      <c r="B9" s="18"/>
      <c r="C9" s="19" t="s">
        <v>29</v>
      </c>
      <c r="D9" s="35" t="s">
        <v>30</v>
      </c>
      <c r="E9" s="35"/>
      <c r="F9" s="35"/>
      <c r="G9" s="35"/>
      <c r="H9" s="35"/>
      <c r="I9" s="35"/>
      <c r="J9" s="35"/>
      <c r="K9" s="35"/>
      <c r="L9" s="35"/>
      <c r="M9" s="35"/>
      <c r="N9" s="35"/>
    </row>
    <row r="10" spans="1:14" ht="25.5">
      <c r="B10" s="20">
        <v>2</v>
      </c>
      <c r="C10" s="21" t="s">
        <v>31</v>
      </c>
      <c r="D10" s="22" t="s">
        <v>32</v>
      </c>
      <c r="E10" s="22" t="s">
        <v>33</v>
      </c>
      <c r="F10" s="23">
        <v>0.02</v>
      </c>
      <c r="G10" s="24">
        <v>1</v>
      </c>
      <c r="H10" s="25">
        <f>F10 * G10 * 25612.880653</f>
        <v>512.25761306000004</v>
      </c>
      <c r="I10" s="25">
        <f>F10 * G10 * 55695.558959</f>
        <v>1113.9111791800001</v>
      </c>
      <c r="J10" s="25">
        <f>F10 * G10 * 0</f>
        <v>0</v>
      </c>
      <c r="K10" s="25">
        <f>F10 * G10 * 24383.462381</f>
        <v>487.66924762000002</v>
      </c>
      <c r="L10" s="25">
        <f>F10 * G10 * 11690.927442</f>
        <v>233.81854884000001</v>
      </c>
      <c r="M10" s="25">
        <f>F10 * G10 * 5122.576131</f>
        <v>102.45152261999999</v>
      </c>
      <c r="N10" s="26">
        <f>SUM(H10:M10)</f>
        <v>2450.1081113200003</v>
      </c>
    </row>
    <row r="11" spans="1:14" s="14" customFormat="1" ht="15">
      <c r="B11" s="15"/>
      <c r="C11" s="16" t="s">
        <v>34</v>
      </c>
      <c r="D11" s="33" t="s">
        <v>35</v>
      </c>
      <c r="E11" s="33"/>
      <c r="F11" s="33"/>
      <c r="G11" s="33"/>
      <c r="H11" s="33"/>
      <c r="I11" s="33"/>
      <c r="J11" s="33"/>
      <c r="K11" s="33"/>
      <c r="L11" s="33"/>
      <c r="M11" s="33"/>
      <c r="N11" s="33"/>
    </row>
    <row r="12" spans="1:14" s="17" customFormat="1" ht="12.75">
      <c r="B12" s="18"/>
      <c r="C12" s="19" t="s">
        <v>36</v>
      </c>
      <c r="D12" s="34" t="s">
        <v>37</v>
      </c>
      <c r="E12" s="34"/>
      <c r="F12" s="34"/>
      <c r="G12" s="34"/>
      <c r="H12" s="34"/>
      <c r="I12" s="34"/>
      <c r="J12" s="34"/>
      <c r="K12" s="34"/>
      <c r="L12" s="34"/>
      <c r="M12" s="34"/>
      <c r="N12" s="34"/>
    </row>
    <row r="13" spans="1:14" s="17" customFormat="1" ht="12.75">
      <c r="B13" s="18"/>
      <c r="C13" s="19" t="s">
        <v>38</v>
      </c>
      <c r="D13" s="35" t="s">
        <v>39</v>
      </c>
      <c r="E13" s="35"/>
      <c r="F13" s="35"/>
      <c r="G13" s="35"/>
      <c r="H13" s="35"/>
      <c r="I13" s="35"/>
      <c r="J13" s="35"/>
      <c r="K13" s="35"/>
      <c r="L13" s="35"/>
      <c r="M13" s="35"/>
      <c r="N13" s="35"/>
    </row>
    <row r="14" spans="1:14" ht="38.25">
      <c r="B14" s="20">
        <v>3</v>
      </c>
      <c r="C14" s="21" t="s">
        <v>40</v>
      </c>
      <c r="D14" s="22" t="s">
        <v>41</v>
      </c>
      <c r="E14" s="22" t="s">
        <v>42</v>
      </c>
      <c r="F14" s="23">
        <v>0.04</v>
      </c>
      <c r="G14" s="24">
        <v>1</v>
      </c>
      <c r="H14" s="25">
        <f>F14 * G14 * 21229.8414</f>
        <v>849.19365600000003</v>
      </c>
      <c r="I14" s="25">
        <f>F14 * G14 * 16269.558656</f>
        <v>650.78234624000004</v>
      </c>
      <c r="J14" s="25">
        <f>F14 * G14 * 0</f>
        <v>0</v>
      </c>
      <c r="K14" s="25">
        <f>F14 * G14 * 20210.809013</f>
        <v>808.43236051999997</v>
      </c>
      <c r="L14" s="25">
        <f>F14 * G14 * 6536.376711</f>
        <v>261.45506843999999</v>
      </c>
      <c r="M14" s="25">
        <f>F14 * G14 * 4245.96828</f>
        <v>169.83873120000001</v>
      </c>
      <c r="N14" s="26">
        <f>SUM(H14:M14)</f>
        <v>2739.7021624000004</v>
      </c>
    </row>
    <row r="15" spans="1:14" ht="38.25">
      <c r="B15" s="20">
        <v>4</v>
      </c>
      <c r="C15" s="21" t="s">
        <v>43</v>
      </c>
      <c r="D15" s="22" t="s">
        <v>44</v>
      </c>
      <c r="E15" s="22" t="s">
        <v>42</v>
      </c>
      <c r="F15" s="23">
        <v>0.02</v>
      </c>
      <c r="G15" s="24">
        <v>1</v>
      </c>
      <c r="H15" s="25">
        <f>F15 * G15 * 28545.363</f>
        <v>570.90726000000006</v>
      </c>
      <c r="I15" s="25">
        <f>F15 * G15 * 32786.421852</f>
        <v>655.72843704000002</v>
      </c>
      <c r="J15" s="25">
        <f>F15 * G15 * 0</f>
        <v>0</v>
      </c>
      <c r="K15" s="25">
        <f>F15 * G15 * 27175.1855759999</f>
        <v>543.50371151999809</v>
      </c>
      <c r="L15" s="25">
        <f>F15 * G15 * 9939.792539</f>
        <v>198.79585077999999</v>
      </c>
      <c r="M15" s="25">
        <f>F15 * G15 * 5709.0726</f>
        <v>114.18145200000001</v>
      </c>
      <c r="N15" s="26">
        <f>SUM(H15:M15)</f>
        <v>2083.1167113399979</v>
      </c>
    </row>
    <row r="16" spans="1:14" s="17" customFormat="1" ht="12.75">
      <c r="B16" s="18"/>
      <c r="C16" s="19" t="s">
        <v>45</v>
      </c>
      <c r="D16" s="35" t="s">
        <v>46</v>
      </c>
      <c r="E16" s="35"/>
      <c r="F16" s="35"/>
      <c r="G16" s="35"/>
      <c r="H16" s="35"/>
      <c r="I16" s="35"/>
      <c r="J16" s="35"/>
      <c r="K16" s="35"/>
      <c r="L16" s="35"/>
      <c r="M16" s="35"/>
      <c r="N16" s="35"/>
    </row>
    <row r="17" spans="2:14" ht="38.25">
      <c r="B17" s="20">
        <v>5</v>
      </c>
      <c r="C17" s="21" t="s">
        <v>47</v>
      </c>
      <c r="D17" s="22" t="s">
        <v>48</v>
      </c>
      <c r="E17" s="22" t="s">
        <v>42</v>
      </c>
      <c r="F17" s="23">
        <v>0.06</v>
      </c>
      <c r="G17" s="24">
        <v>1</v>
      </c>
      <c r="H17" s="25">
        <f>F17 * G17 * 17300.22</f>
        <v>1038.0132000000001</v>
      </c>
      <c r="I17" s="25">
        <f>F17 * G17 * 43098.146481</f>
        <v>2585.8887888600002</v>
      </c>
      <c r="J17" s="25">
        <f>F17 * G17 * 0</f>
        <v>0</v>
      </c>
      <c r="K17" s="25">
        <f>F17 * G17 * 16469.80944</f>
        <v>988.18856640000001</v>
      </c>
      <c r="L17" s="25">
        <f>F17 * G17 * 8474.627202</f>
        <v>508.47763211999995</v>
      </c>
      <c r="M17" s="25">
        <f>F17 * G17 * 3460.044</f>
        <v>207.60263999999998</v>
      </c>
      <c r="N17" s="26">
        <f>SUM(H17:M17)</f>
        <v>5328.1708273800004</v>
      </c>
    </row>
    <row r="18" spans="2:14" s="17" customFormat="1" ht="12.75">
      <c r="B18" s="18"/>
      <c r="C18" s="19" t="s">
        <v>49</v>
      </c>
      <c r="D18" s="35" t="s">
        <v>50</v>
      </c>
      <c r="E18" s="35"/>
      <c r="F18" s="35"/>
      <c r="G18" s="35"/>
      <c r="H18" s="35"/>
      <c r="I18" s="35"/>
      <c r="J18" s="35"/>
      <c r="K18" s="35"/>
      <c r="L18" s="35"/>
      <c r="M18" s="35"/>
      <c r="N18" s="35"/>
    </row>
    <row r="19" spans="2:14" ht="25.5">
      <c r="B19" s="20">
        <v>6</v>
      </c>
      <c r="C19" s="21" t="s">
        <v>51</v>
      </c>
      <c r="D19" s="22" t="s">
        <v>52</v>
      </c>
      <c r="E19" s="22" t="s">
        <v>42</v>
      </c>
      <c r="F19" s="23">
        <v>2.7E-2</v>
      </c>
      <c r="G19" s="24">
        <v>1</v>
      </c>
      <c r="H19" s="25">
        <f>F19 * G19 * 37793.3664</f>
        <v>1020.4208927999999</v>
      </c>
      <c r="I19" s="25">
        <f>F19 * G19 * 54429.248874</f>
        <v>1469.5897195979999</v>
      </c>
      <c r="J19" s="25">
        <f>F19 * G19 * 0</f>
        <v>0</v>
      </c>
      <c r="K19" s="25">
        <f>F19 * G19 * 35979.284813</f>
        <v>971.44068995099997</v>
      </c>
      <c r="L19" s="25">
        <f>F19 * G19 * 14322.74049</f>
        <v>386.71399322999997</v>
      </c>
      <c r="M19" s="25">
        <f>F19 * G19 * 7558.67328</f>
        <v>204.08417856</v>
      </c>
      <c r="N19" s="26">
        <f>SUM(H19:M19)</f>
        <v>4052.2494741390001</v>
      </c>
    </row>
    <row r="20" spans="2:14" s="17" customFormat="1" ht="12.75">
      <c r="B20" s="18"/>
      <c r="C20" s="19" t="s">
        <v>53</v>
      </c>
      <c r="D20" s="35" t="s">
        <v>54</v>
      </c>
      <c r="E20" s="35"/>
      <c r="F20" s="35"/>
      <c r="G20" s="35"/>
      <c r="H20" s="35"/>
      <c r="I20" s="35"/>
      <c r="J20" s="35"/>
      <c r="K20" s="35"/>
      <c r="L20" s="35"/>
      <c r="M20" s="35"/>
      <c r="N20" s="35"/>
    </row>
    <row r="21" spans="2:14">
      <c r="B21" s="20">
        <v>7</v>
      </c>
      <c r="C21" s="21" t="s">
        <v>55</v>
      </c>
      <c r="D21" s="22" t="s">
        <v>56</v>
      </c>
      <c r="E21" s="22" t="s">
        <v>57</v>
      </c>
      <c r="F21" s="23">
        <v>0.4</v>
      </c>
      <c r="G21" s="24">
        <v>1</v>
      </c>
      <c r="H21" s="25">
        <f>F21 * G21 * 7833.7224</f>
        <v>3133.4889600000001</v>
      </c>
      <c r="I21" s="25">
        <f>F21 * G21 * 4906.963041</f>
        <v>1962.7852164000001</v>
      </c>
      <c r="J21" s="25">
        <f>F21 * G21 * 0</f>
        <v>0</v>
      </c>
      <c r="K21" s="25">
        <f>F21 * G21 * 7457.703725</f>
        <v>2983.0814900000005</v>
      </c>
      <c r="L21" s="25">
        <f>F21 * G21 * 2296.221599</f>
        <v>918.48863960000006</v>
      </c>
      <c r="M21" s="25">
        <f>F21 * G21 * 1566.74448</f>
        <v>626.69779200000005</v>
      </c>
      <c r="N21" s="26">
        <f>SUM(H21:M21)</f>
        <v>9624.5420980000017</v>
      </c>
    </row>
    <row r="22" spans="2:14" s="17" customFormat="1" ht="12.75">
      <c r="B22" s="18"/>
      <c r="C22" s="19" t="s">
        <v>58</v>
      </c>
      <c r="D22" s="35" t="s">
        <v>59</v>
      </c>
      <c r="E22" s="35"/>
      <c r="F22" s="35"/>
      <c r="G22" s="35"/>
      <c r="H22" s="35"/>
      <c r="I22" s="35"/>
      <c r="J22" s="35"/>
      <c r="K22" s="35"/>
      <c r="L22" s="35"/>
      <c r="M22" s="35"/>
      <c r="N22" s="35"/>
    </row>
    <row r="23" spans="2:14" ht="38.25">
      <c r="B23" s="20">
        <v>8</v>
      </c>
      <c r="C23" s="21" t="s">
        <v>60</v>
      </c>
      <c r="D23" s="22" t="s">
        <v>61</v>
      </c>
      <c r="E23" s="22" t="s">
        <v>62</v>
      </c>
      <c r="F23" s="23">
        <v>4</v>
      </c>
      <c r="G23" s="24">
        <v>1</v>
      </c>
      <c r="H23" s="25">
        <f>F23 * G23 * 31.45272</f>
        <v>125.81088</v>
      </c>
      <c r="I23" s="25">
        <f>F23 * G23 * 3.168864</f>
        <v>12.675456000000001</v>
      </c>
      <c r="J23" s="25">
        <f>F23 * G23 * 0</f>
        <v>0</v>
      </c>
      <c r="K23" s="25">
        <f>F23 * G23 * 29.942989</f>
        <v>119.771956</v>
      </c>
      <c r="L23" s="25">
        <f>F23 * G23 * 7.47521499999999</f>
        <v>29.900859999999959</v>
      </c>
      <c r="M23" s="25">
        <f>F23 * G23 * 6.290544</f>
        <v>25.162175999999999</v>
      </c>
      <c r="N23" s="26">
        <f>SUM(H23:M23)</f>
        <v>313.32132799999994</v>
      </c>
    </row>
    <row r="24" spans="2:14" s="17" customFormat="1" ht="12.75">
      <c r="B24" s="18"/>
      <c r="C24" s="19" t="s">
        <v>63</v>
      </c>
      <c r="D24" s="34" t="s">
        <v>64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</row>
    <row r="25" spans="2:14" ht="25.5">
      <c r="B25" s="20">
        <v>9</v>
      </c>
      <c r="C25" s="21" t="s">
        <v>65</v>
      </c>
      <c r="D25" s="22" t="s">
        <v>66</v>
      </c>
      <c r="E25" s="22" t="s">
        <v>24</v>
      </c>
      <c r="F25" s="23">
        <v>0.05</v>
      </c>
      <c r="G25" s="24">
        <v>1</v>
      </c>
      <c r="H25" s="25">
        <f>F25 * G25 * 20853.288</f>
        <v>1042.6644000000001</v>
      </c>
      <c r="I25" s="25">
        <f>F25 * G25 * 14281.888527</f>
        <v>714.09442635000005</v>
      </c>
      <c r="J25" s="25">
        <f>F25 * G25 * 0</f>
        <v>0</v>
      </c>
      <c r="K25" s="25">
        <f>F25 * G25 * 19852.330176</f>
        <v>992.61650880000002</v>
      </c>
      <c r="L25" s="25">
        <f>F25 * G25 * 6241.186334</f>
        <v>312.05931670000001</v>
      </c>
      <c r="M25" s="25">
        <f>F25 * G25 * 4170.6576</f>
        <v>208.53287999999998</v>
      </c>
      <c r="N25" s="26">
        <f>SUM(H25:M25)</f>
        <v>3269.9675318500003</v>
      </c>
    </row>
    <row r="26" spans="2:14" ht="25.5">
      <c r="B26" s="20">
        <v>10</v>
      </c>
      <c r="C26" s="21" t="s">
        <v>67</v>
      </c>
      <c r="D26" s="22" t="s">
        <v>68</v>
      </c>
      <c r="E26" s="22" t="s">
        <v>24</v>
      </c>
      <c r="F26" s="23">
        <v>0.01</v>
      </c>
      <c r="G26" s="24">
        <v>1</v>
      </c>
      <c r="H26" s="25">
        <f>F26 * G26 * 26517.144</f>
        <v>265.17144000000002</v>
      </c>
      <c r="I26" s="25">
        <f>F26 * G26 * 32076.049298</f>
        <v>320.76049298000004</v>
      </c>
      <c r="J26" s="25">
        <f>F26 * G26 * 0</f>
        <v>0</v>
      </c>
      <c r="K26" s="25">
        <f>F26 * G26 * 25244.321088</f>
        <v>252.44321088000001</v>
      </c>
      <c r="L26" s="25">
        <f>F26 * G26 * 9404.369506</f>
        <v>94.04369505999999</v>
      </c>
      <c r="M26" s="25">
        <f>F26 * G26 * 5303.4288</f>
        <v>53.034287999999997</v>
      </c>
      <c r="N26" s="26">
        <f>SUM(H26:M26)</f>
        <v>985.45312692000005</v>
      </c>
    </row>
    <row r="27" spans="2:14" s="14" customFormat="1" ht="15">
      <c r="B27" s="15"/>
      <c r="C27" s="16" t="s">
        <v>69</v>
      </c>
      <c r="D27" s="33" t="s">
        <v>70</v>
      </c>
      <c r="E27" s="33"/>
      <c r="F27" s="33"/>
      <c r="G27" s="33"/>
      <c r="H27" s="33"/>
      <c r="I27" s="33"/>
      <c r="J27" s="33"/>
      <c r="K27" s="33"/>
      <c r="L27" s="33"/>
      <c r="M27" s="33"/>
      <c r="N27" s="33"/>
    </row>
    <row r="28" spans="2:14" ht="25.5">
      <c r="B28" s="20">
        <v>11</v>
      </c>
      <c r="C28" s="21" t="s">
        <v>71</v>
      </c>
      <c r="D28" s="22" t="s">
        <v>72</v>
      </c>
      <c r="E28" s="22" t="s">
        <v>73</v>
      </c>
      <c r="F28" s="23">
        <v>1.1200000000000001</v>
      </c>
      <c r="G28" s="24">
        <v>1</v>
      </c>
      <c r="H28" s="25">
        <f>F28 * G28 * 2443.6344</f>
        <v>2736.8705280000004</v>
      </c>
      <c r="I28" s="25">
        <f>F28 * G28 * 600.324723</f>
        <v>672.36368976000006</v>
      </c>
      <c r="J28" s="25">
        <f>F28 * G28 * 0</f>
        <v>0</v>
      </c>
      <c r="K28" s="25">
        <f>F28 * G28 * 2326.339949</f>
        <v>2605.5007428800004</v>
      </c>
      <c r="L28" s="25">
        <f>F28 * G28 * 618.127237999999</f>
        <v>692.30250655999896</v>
      </c>
      <c r="M28" s="25">
        <f>F28 * G28 * 488.72688</f>
        <v>547.37410560000001</v>
      </c>
      <c r="N28" s="26">
        <f>SUM(H28:M28)</f>
        <v>7254.4115727999988</v>
      </c>
    </row>
    <row r="29" spans="2:14" s="17" customFormat="1" ht="12.75">
      <c r="B29" s="18"/>
      <c r="C29" s="19" t="s">
        <v>74</v>
      </c>
      <c r="D29" s="34" t="s">
        <v>75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</row>
    <row r="30" spans="2:14" ht="25.5">
      <c r="B30" s="20">
        <v>12</v>
      </c>
      <c r="C30" s="21" t="s">
        <v>76</v>
      </c>
      <c r="D30" s="22" t="s">
        <v>77</v>
      </c>
      <c r="E30" s="22" t="s">
        <v>33</v>
      </c>
      <c r="F30" s="23">
        <v>0.03</v>
      </c>
      <c r="G30" s="24">
        <v>1</v>
      </c>
      <c r="H30" s="25">
        <f>F30 * G30 * 14892.674832</f>
        <v>446.78024496</v>
      </c>
      <c r="I30" s="25">
        <f>F30 * G30 * 24214.966772</f>
        <v>726.44900315999996</v>
      </c>
      <c r="J30" s="25">
        <f>F30 * G30 * 1.114113</f>
        <v>3.3423389999999997E-2</v>
      </c>
      <c r="K30" s="25">
        <f>F30 * G30 * 14177.82644</f>
        <v>425.33479319999998</v>
      </c>
      <c r="L30" s="25">
        <f>F30 * G30 * 5935.969857</f>
        <v>178.07909570999999</v>
      </c>
      <c r="M30" s="25">
        <f>F30 * G30 * 2978.534966</f>
        <v>89.356048979999997</v>
      </c>
      <c r="N30" s="26">
        <f>SUM(H30:M30)</f>
        <v>1866.0326094</v>
      </c>
    </row>
    <row r="31" spans="2:14" s="14" customFormat="1" ht="15">
      <c r="B31" s="15"/>
      <c r="C31" s="16" t="s">
        <v>78</v>
      </c>
      <c r="D31" s="33" t="s">
        <v>79</v>
      </c>
      <c r="E31" s="33"/>
      <c r="F31" s="33"/>
      <c r="G31" s="33"/>
      <c r="H31" s="33"/>
      <c r="I31" s="33"/>
      <c r="J31" s="33"/>
      <c r="K31" s="33"/>
      <c r="L31" s="33"/>
      <c r="M31" s="33"/>
      <c r="N31" s="33"/>
    </row>
    <row r="32" spans="2:14">
      <c r="B32" s="20">
        <v>13</v>
      </c>
      <c r="C32" s="21" t="s">
        <v>80</v>
      </c>
      <c r="D32" s="22" t="s">
        <v>81</v>
      </c>
      <c r="E32" s="22" t="s">
        <v>82</v>
      </c>
      <c r="F32" s="23">
        <v>2E-3</v>
      </c>
      <c r="G32" s="24">
        <v>1</v>
      </c>
      <c r="H32" s="25">
        <f>F32 * G32 * 48388.8</f>
        <v>96.777600000000007</v>
      </c>
      <c r="I32" s="25">
        <f>F32 * G32 * 59115.7592339999</f>
        <v>118.23151846799999</v>
      </c>
      <c r="J32" s="25">
        <f>F32 * G32 * 0</f>
        <v>0</v>
      </c>
      <c r="K32" s="25">
        <f>F32 * G32 * 46066.1376</f>
        <v>92.132275200000009</v>
      </c>
      <c r="L32" s="25">
        <f>F32 * G32 * 17222.712196</f>
        <v>34.445424392</v>
      </c>
      <c r="M32" s="25">
        <f>F32 * G32 * 9677.76</f>
        <v>19.355520000000002</v>
      </c>
      <c r="N32" s="26">
        <f>SUM(H32:M32)</f>
        <v>360.94233806</v>
      </c>
    </row>
    <row r="33" spans="2:14" s="14" customFormat="1" ht="15">
      <c r="B33" s="15"/>
      <c r="C33" s="16" t="s">
        <v>83</v>
      </c>
      <c r="D33" s="33" t="s">
        <v>84</v>
      </c>
      <c r="E33" s="33"/>
      <c r="F33" s="33"/>
      <c r="G33" s="33"/>
      <c r="H33" s="33"/>
      <c r="I33" s="33"/>
      <c r="J33" s="33"/>
      <c r="K33" s="33"/>
      <c r="L33" s="33"/>
      <c r="M33" s="33"/>
      <c r="N33" s="33"/>
    </row>
    <row r="34" spans="2:14" s="17" customFormat="1" ht="12.75">
      <c r="B34" s="18"/>
      <c r="C34" s="19" t="s">
        <v>85</v>
      </c>
      <c r="D34" s="34" t="s">
        <v>86</v>
      </c>
      <c r="E34" s="34"/>
      <c r="F34" s="34"/>
      <c r="G34" s="34"/>
      <c r="H34" s="34"/>
      <c r="I34" s="34"/>
      <c r="J34" s="34"/>
      <c r="K34" s="34"/>
      <c r="L34" s="34"/>
      <c r="M34" s="34"/>
      <c r="N34" s="34"/>
    </row>
    <row r="35" spans="2:14" s="17" customFormat="1" ht="12.75">
      <c r="B35" s="18"/>
      <c r="C35" s="19" t="s">
        <v>87</v>
      </c>
      <c r="D35" s="35" t="s">
        <v>88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</row>
    <row r="36" spans="2:14" ht="25.5">
      <c r="B36" s="20">
        <v>14</v>
      </c>
      <c r="C36" s="21" t="s">
        <v>89</v>
      </c>
      <c r="D36" s="22" t="s">
        <v>90</v>
      </c>
      <c r="E36" s="22" t="s">
        <v>33</v>
      </c>
      <c r="F36" s="23">
        <v>28.8</v>
      </c>
      <c r="G36" s="24">
        <v>1</v>
      </c>
      <c r="H36" s="25">
        <f>F36 * G36 * 950.793</f>
        <v>27382.838400000001</v>
      </c>
      <c r="I36" s="25">
        <f>F36 * G36 * 7.170829</f>
        <v>206.5198752</v>
      </c>
      <c r="J36" s="25">
        <f>F36 * G36 * 0</f>
        <v>0</v>
      </c>
      <c r="K36" s="25">
        <f>F36 * G36 * 905.154935999999</f>
        <v>26068.462156799971</v>
      </c>
      <c r="L36" s="25">
        <f>F36 * G36 * 216.620762</f>
        <v>6238.6779456000004</v>
      </c>
      <c r="M36" s="25">
        <f>F36 * G36 * 190.1586</f>
        <v>5476.5676800000001</v>
      </c>
      <c r="N36" s="26">
        <f>SUM(H36:M36)</f>
        <v>65373.066057599972</v>
      </c>
    </row>
    <row r="37" spans="2:14" s="17" customFormat="1" ht="12.75">
      <c r="B37" s="18"/>
      <c r="C37" s="19" t="s">
        <v>91</v>
      </c>
      <c r="D37" s="35" t="s">
        <v>92</v>
      </c>
      <c r="E37" s="35"/>
      <c r="F37" s="35"/>
      <c r="G37" s="35"/>
      <c r="H37" s="35"/>
      <c r="I37" s="35"/>
      <c r="J37" s="35"/>
      <c r="K37" s="35"/>
      <c r="L37" s="35"/>
      <c r="M37" s="35"/>
      <c r="N37" s="35"/>
    </row>
    <row r="38" spans="2:14" ht="25.5">
      <c r="B38" s="20">
        <v>15</v>
      </c>
      <c r="C38" s="21" t="s">
        <v>93</v>
      </c>
      <c r="D38" s="22" t="s">
        <v>94</v>
      </c>
      <c r="E38" s="22" t="s">
        <v>95</v>
      </c>
      <c r="F38" s="23">
        <v>86.4</v>
      </c>
      <c r="G38" s="24">
        <v>1</v>
      </c>
      <c r="H38" s="25">
        <f>F38 * G38 * 223.97976</f>
        <v>19351.851264000001</v>
      </c>
      <c r="I38" s="25">
        <f>F38 * G38 * 0</f>
        <v>0</v>
      </c>
      <c r="J38" s="25">
        <f>F38 * G38 * 0</f>
        <v>0</v>
      </c>
      <c r="K38" s="25">
        <f>F38 * G38 * 213.228732</f>
        <v>18422.962444800003</v>
      </c>
      <c r="L38" s="25">
        <f>F38 * G38 * 50.8514689999999</f>
        <v>4393.5669215999915</v>
      </c>
      <c r="M38" s="25">
        <f>F38 * G38 * 44.795952</f>
        <v>3870.3702528000003</v>
      </c>
      <c r="N38" s="26">
        <f>SUM(H38:M38)</f>
        <v>46038.750883200002</v>
      </c>
    </row>
    <row r="39" spans="2:14" s="14" customFormat="1" ht="15">
      <c r="B39" s="15"/>
      <c r="C39" s="16" t="s">
        <v>96</v>
      </c>
      <c r="D39" s="33" t="s">
        <v>97</v>
      </c>
      <c r="E39" s="33"/>
      <c r="F39" s="33"/>
      <c r="G39" s="33"/>
      <c r="H39" s="33"/>
      <c r="I39" s="33"/>
      <c r="J39" s="33"/>
      <c r="K39" s="33"/>
      <c r="L39" s="33"/>
      <c r="M39" s="33"/>
      <c r="N39" s="33"/>
    </row>
    <row r="40" spans="2:14" s="17" customFormat="1" ht="12.75">
      <c r="B40" s="18"/>
      <c r="C40" s="19" t="s">
        <v>98</v>
      </c>
      <c r="D40" s="34" t="s">
        <v>99</v>
      </c>
      <c r="E40" s="34"/>
      <c r="F40" s="34"/>
      <c r="G40" s="34"/>
      <c r="H40" s="34"/>
      <c r="I40" s="34"/>
      <c r="J40" s="34"/>
      <c r="K40" s="34"/>
      <c r="L40" s="34"/>
      <c r="M40" s="34"/>
      <c r="N40" s="34"/>
    </row>
    <row r="41" spans="2:14">
      <c r="B41" s="20">
        <v>16</v>
      </c>
      <c r="C41" s="21" t="s">
        <v>100</v>
      </c>
      <c r="D41" s="22" t="s">
        <v>101</v>
      </c>
      <c r="E41" s="22" t="s">
        <v>102</v>
      </c>
      <c r="F41" s="23">
        <v>0.3</v>
      </c>
      <c r="G41" s="24">
        <v>1</v>
      </c>
      <c r="H41" s="25">
        <f>F41 * G41 * 23599.85628</f>
        <v>7079.9568840000002</v>
      </c>
      <c r="I41" s="25">
        <f>F41 * G41 * 57876.413028</f>
        <v>17362.9239084</v>
      </c>
      <c r="J41" s="25">
        <f>F41 * G41 * 4152.461775</f>
        <v>1245.7385324999998</v>
      </c>
      <c r="K41" s="25">
        <f>F41 * G41 * 23955.524561</f>
        <v>7186.6573682999997</v>
      </c>
      <c r="L41" s="25">
        <f>F41 * G41 * 12092.085996</f>
        <v>3627.6257987999998</v>
      </c>
      <c r="M41" s="25">
        <f>F41 * G41 * 5032.673227</f>
        <v>1509.8019681000001</v>
      </c>
      <c r="N41" s="26">
        <f>SUM(H41:M41)</f>
        <v>38012.704460100002</v>
      </c>
    </row>
    <row r="42" spans="2:14" s="27" customFormat="1" ht="20.100000000000001" customHeight="1">
      <c r="B42" s="36" t="s">
        <v>103</v>
      </c>
      <c r="C42" s="36"/>
      <c r="D42" s="36"/>
      <c r="E42" s="36"/>
      <c r="F42" s="36"/>
      <c r="G42" s="36"/>
      <c r="H42" s="28">
        <f t="shared" ref="H42:N42" si="0">SUM(H4:H41)</f>
        <v>66597.794542820004</v>
      </c>
      <c r="I42" s="28">
        <f t="shared" si="0"/>
        <v>30048.975557636004</v>
      </c>
      <c r="J42" s="28">
        <f t="shared" si="0"/>
        <v>1245.7719558899998</v>
      </c>
      <c r="K42" s="28">
        <f t="shared" si="0"/>
        <v>63847.638859620973</v>
      </c>
      <c r="L42" s="28">
        <f t="shared" si="0"/>
        <v>18478.69958298199</v>
      </c>
      <c r="M42" s="28">
        <f t="shared" si="0"/>
        <v>13413.36949986</v>
      </c>
      <c r="N42" s="29">
        <f t="shared" si="0"/>
        <v>193632.24999880898</v>
      </c>
    </row>
  </sheetData>
  <mergeCells count="26">
    <mergeCell ref="B42:G42"/>
    <mergeCell ref="D34:N34"/>
    <mergeCell ref="D35:N35"/>
    <mergeCell ref="D37:N37"/>
    <mergeCell ref="D39:N39"/>
    <mergeCell ref="D40:N40"/>
    <mergeCell ref="D24:N24"/>
    <mergeCell ref="D27:N27"/>
    <mergeCell ref="D29:N29"/>
    <mergeCell ref="D31:N31"/>
    <mergeCell ref="D33:N33"/>
    <mergeCell ref="D13:N13"/>
    <mergeCell ref="D16:N16"/>
    <mergeCell ref="D18:N18"/>
    <mergeCell ref="D20:N20"/>
    <mergeCell ref="D22:N22"/>
    <mergeCell ref="D7:N7"/>
    <mergeCell ref="D8:N8"/>
    <mergeCell ref="D9:N9"/>
    <mergeCell ref="D11:N11"/>
    <mergeCell ref="D12:N12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scale="61" fitToHeight="0" orientation="landscape" horizontalDpi="4294967295" verticalDpi="4294967295" r:id="rId1"/>
  <headerFooter>
    <oddHeader>&amp;C&amp;KCCCCCC&amp;"Arial"Д.Ульянова 12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Д.Ульянова 12</dc:title>
  <dc:creator/>
  <cp:lastModifiedBy/>
  <cp:lastPrinted>2022-03-22T10:11:44Z</cp:lastPrinted>
  <dcterms:created xsi:type="dcterms:W3CDTF">2022-03-22T10:11:44Z</dcterms:created>
  <dcterms:modified xsi:type="dcterms:W3CDTF">2022-03-22T10:12:15Z</dcterms:modified>
</cp:coreProperties>
</file>