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600" yWindow="810" windowWidth="19575" windowHeight="7080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33" i="1"/>
  <c r="L33"/>
  <c r="K33"/>
  <c r="J33"/>
  <c r="I33"/>
  <c r="H33"/>
  <c r="N33" s="1"/>
  <c r="M30"/>
  <c r="L30"/>
  <c r="K30"/>
  <c r="N30" s="1"/>
  <c r="J30"/>
  <c r="I30"/>
  <c r="H30"/>
  <c r="M28"/>
  <c r="L28"/>
  <c r="K28"/>
  <c r="J28"/>
  <c r="N28" s="1"/>
  <c r="I28"/>
  <c r="H28"/>
  <c r="M27"/>
  <c r="L27"/>
  <c r="K27"/>
  <c r="J27"/>
  <c r="I27"/>
  <c r="H27"/>
  <c r="N27" s="1"/>
  <c r="M23"/>
  <c r="L23"/>
  <c r="K23"/>
  <c r="J23"/>
  <c r="I23"/>
  <c r="H23"/>
  <c r="N23" s="1"/>
  <c r="M22"/>
  <c r="L22"/>
  <c r="K22"/>
  <c r="J22"/>
  <c r="N22" s="1"/>
  <c r="I22"/>
  <c r="H22"/>
  <c r="M19"/>
  <c r="L19"/>
  <c r="K19"/>
  <c r="J19"/>
  <c r="N19" s="1"/>
  <c r="I19"/>
  <c r="H19"/>
  <c r="M17"/>
  <c r="L17"/>
  <c r="K17"/>
  <c r="J17"/>
  <c r="I17"/>
  <c r="H17"/>
  <c r="N17" s="1"/>
  <c r="M15"/>
  <c r="L15"/>
  <c r="K15"/>
  <c r="J15"/>
  <c r="I15"/>
  <c r="H15"/>
  <c r="N15" s="1"/>
  <c r="M13"/>
  <c r="L13"/>
  <c r="K13"/>
  <c r="J13"/>
  <c r="N13" s="1"/>
  <c r="I13"/>
  <c r="H13"/>
  <c r="M11"/>
  <c r="L11"/>
  <c r="K11"/>
  <c r="J11"/>
  <c r="N11" s="1"/>
  <c r="I11"/>
  <c r="H11"/>
  <c r="M7"/>
  <c r="M34" s="1"/>
  <c r="L7"/>
  <c r="L34" s="1"/>
  <c r="K7"/>
  <c r="K34" s="1"/>
  <c r="J7"/>
  <c r="J34" s="1"/>
  <c r="I7"/>
  <c r="I34" s="1"/>
  <c r="H7"/>
  <c r="N7" s="1"/>
  <c r="N34" s="1"/>
  <c r="H34" l="1"/>
</calcChain>
</file>

<file path=xl/sharedStrings.xml><?xml version="1.0" encoding="utf-8"?>
<sst xmlns="http://schemas.openxmlformats.org/spreadsheetml/2006/main" count="92" uniqueCount="86">
  <si>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</si>
  <si>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</si>
  <si>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</si>
  <si>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</si>
  <si>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</si>
  <si>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</si>
  <si>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</si>
  <si>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</si>
  <si>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</si>
  <si>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</si>
  <si>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</si>
  <si>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</si>
  <si>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</si>
  <si>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</si>
  <si>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Бундурина 60</t>
  </si>
  <si>
    <t>Дата изменения:</t>
  </si>
  <si>
    <t>21.03.2022</t>
  </si>
  <si>
    <t>Общая площадь, кв.м: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</si>
  <si>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</si>
  <si>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</si>
  <si>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</si>
  <si>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</si>
  <si>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</si>
  <si>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</si>
  <si>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2.1.2.1.1</t>
  </si>
  <si>
    <t>Смена отдельных участков трубопроводов из стальных водогазопроводных неоцинкованных труб диаметром 15 мм</t>
  </si>
  <si>
    <t>100 м трубопровода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</si>
  <si>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</si>
  <si>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</si>
  <si>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</si>
  <si>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</si>
  <si>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2.2.1.2</t>
  </si>
  <si>
    <t>Смена отдельных участков трубопроводов  водоснабжения из стальных водогазопроводных оцинкованных труб при соединении труб  на сварке</t>
  </si>
  <si>
    <t>2.2.1.2.1</t>
  </si>
  <si>
    <t>Смена отдельных участков трубопроводов водоснабжения из стальных водогазопроводных оцинкованных труб диаметром 40 мм</t>
  </si>
  <si>
    <t>100 м трубопроводов</t>
  </si>
  <si>
    <t>2.2.1.3</t>
  </si>
  <si>
    <t>Смена отдельных участков трубопроводов  водоснабжения из стальных электросварных труб</t>
  </si>
  <si>
    <t>2.2.1.3.2</t>
  </si>
  <si>
    <t>Смена отдельных участков трубопроводов  водоснабжения из стальных электросварных труб диаметром 50 мм</t>
  </si>
  <si>
    <t>2.2.1.7</t>
  </si>
  <si>
    <t>Смена сгонов у трубопроводов</t>
  </si>
  <si>
    <t>2.2.1.7.3</t>
  </si>
  <si>
    <t>Смена сгонов у трубопроводов диаметром до 50 мм</t>
  </si>
  <si>
    <t>100 сгонов</t>
  </si>
  <si>
    <t>2.2.1.8</t>
  </si>
  <si>
    <t>Уплотнение сгонов</t>
  </si>
  <si>
    <t>2.2.1.8.3</t>
  </si>
  <si>
    <t>Уплотнение сгонов с применением льняной пряди или асбестового шнура (без разборки сгонов) диаметром до 50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</si>
  <si>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</si>
  <si>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</si>
  <si>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</si>
  <si>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</si>
  <si>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</si>
  <si>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100 шт.</t>
  </si>
  <si>
    <t>2.3</t>
  </si>
  <si>
    <t>Система водоотведения</t>
  </si>
  <si>
    <t>2.3.10</t>
  </si>
  <si>
    <t>Прокладка внутренних трубопроводов канализации из полипропиленовых труб</t>
  </si>
  <si>
    <t>2.3.10.1</t>
  </si>
  <si>
    <t>Прокладка внутренних трубопроводов канализации из полипропиленовых труб диаметром 50 мм</t>
  </si>
  <si>
    <t>2.3.10.2</t>
  </si>
  <si>
    <t>Прокладка внутренних трубопроводов канализации из полипропиленовых труб диаметром 110 мм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</si>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</sst>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4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s="17" customFormat="1" ht="12.75">
      <c r="B6" s="18"/>
      <c r="C6" s="19" t="s">
        <v>22</v>
      </c>
      <c r="D6" s="35" t="s">
        <v>23</v>
      </c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38.25">
      <c r="B7" s="20">
        <v>1</v>
      </c>
      <c r="C7" s="21" t="s">
        <v>24</v>
      </c>
      <c r="D7" s="22" t="s">
        <v>25</v>
      </c>
      <c r="E7" s="22" t="s">
        <v>26</v>
      </c>
      <c r="F7" s="23">
        <v>0.04</v>
      </c>
      <c r="G7" s="24">
        <v>1</v>
      </c>
      <c r="H7" s="25">
        <f>F7 * G7 * 21019.178855</f>
        <v>840.76715419999994</v>
      </c>
      <c r="I7" s="25">
        <f>F7 * G7 * 9007.831335</f>
        <v>360.31325340000006</v>
      </c>
      <c r="J7" s="25">
        <f>F7 * G7 * 0</f>
        <v>0</v>
      </c>
      <c r="K7" s="25">
        <f>F7 * G7 * 20010.25827</f>
        <v>800.4103308</v>
      </c>
      <c r="L7" s="25">
        <f>F7 * G7 * 5722.436496</f>
        <v>228.89745984000001</v>
      </c>
      <c r="M7" s="25">
        <f>F7 * G7 * 4203.835771</f>
        <v>168.15343084</v>
      </c>
      <c r="N7" s="26">
        <f>SUM(H7:M7)</f>
        <v>2398.5416290799999</v>
      </c>
    </row>
    <row r="8" spans="1:14" s="14" customFormat="1" ht="15">
      <c r="B8" s="15"/>
      <c r="C8" s="16" t="s">
        <v>27</v>
      </c>
      <c r="D8" s="33" t="s">
        <v>28</v>
      </c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s="17" customFormat="1" ht="12.75">
      <c r="B9" s="18"/>
      <c r="C9" s="19" t="s">
        <v>29</v>
      </c>
      <c r="D9" s="34" t="s">
        <v>30</v>
      </c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s="17" customFormat="1" ht="12.75">
      <c r="B10" s="18"/>
      <c r="C10" s="19" t="s">
        <v>31</v>
      </c>
      <c r="D10" s="35" t="s">
        <v>32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4" ht="38.25">
      <c r="B11" s="20">
        <v>2</v>
      </c>
      <c r="C11" s="21" t="s">
        <v>33</v>
      </c>
      <c r="D11" s="22" t="s">
        <v>34</v>
      </c>
      <c r="E11" s="22" t="s">
        <v>35</v>
      </c>
      <c r="F11" s="23">
        <v>0.03</v>
      </c>
      <c r="G11" s="24">
        <v>1</v>
      </c>
      <c r="H11" s="25">
        <f>F11 * G11 * 30003.5244</f>
        <v>900.10573199999988</v>
      </c>
      <c r="I11" s="25">
        <f>F11 * G11 * 34429.776043</f>
        <v>1032.89328129</v>
      </c>
      <c r="J11" s="25">
        <f>F11 * G11 * 0</f>
        <v>0</v>
      </c>
      <c r="K11" s="25">
        <f>F11 * G11 * 28563.355229</f>
        <v>856.90065687000003</v>
      </c>
      <c r="L11" s="25">
        <f>F11 * G11 * 10444.221538</f>
        <v>313.32664613999998</v>
      </c>
      <c r="M11" s="25">
        <f>F11 * G11 * 6000.70488</f>
        <v>180.02114639999999</v>
      </c>
      <c r="N11" s="26">
        <f>SUM(H11:M11)</f>
        <v>3283.2474626999997</v>
      </c>
    </row>
    <row r="12" spans="1:14" s="17" customFormat="1" ht="12.75">
      <c r="B12" s="18"/>
      <c r="C12" s="19" t="s">
        <v>36</v>
      </c>
      <c r="D12" s="35" t="s">
        <v>37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ht="38.25">
      <c r="B13" s="20">
        <v>3</v>
      </c>
      <c r="C13" s="21" t="s">
        <v>38</v>
      </c>
      <c r="D13" s="22" t="s">
        <v>39</v>
      </c>
      <c r="E13" s="22" t="s">
        <v>35</v>
      </c>
      <c r="F13" s="23">
        <v>0.02</v>
      </c>
      <c r="G13" s="24">
        <v>1</v>
      </c>
      <c r="H13" s="25">
        <f>F13 * G13 * 17300.22</f>
        <v>346.00440000000003</v>
      </c>
      <c r="I13" s="25">
        <f>F13 * G13 * 43098.146481</f>
        <v>861.96292962000007</v>
      </c>
      <c r="J13" s="25">
        <f>F13 * G13 * 0</f>
        <v>0</v>
      </c>
      <c r="K13" s="25">
        <f>F13 * G13 * 16469.80944</f>
        <v>329.3961888</v>
      </c>
      <c r="L13" s="25">
        <f>F13 * G13 * 8474.627202</f>
        <v>169.49254403999998</v>
      </c>
      <c r="M13" s="25">
        <f>F13 * G13 * 3460.044</f>
        <v>69.200879999999998</v>
      </c>
      <c r="N13" s="26">
        <f>SUM(H13:M13)</f>
        <v>1776.0569424600003</v>
      </c>
    </row>
    <row r="14" spans="1:14" s="17" customFormat="1" ht="12.75">
      <c r="B14" s="18"/>
      <c r="C14" s="19" t="s">
        <v>40</v>
      </c>
      <c r="D14" s="35" t="s">
        <v>41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</row>
    <row r="15" spans="1:14">
      <c r="B15" s="20">
        <v>4</v>
      </c>
      <c r="C15" s="21" t="s">
        <v>42</v>
      </c>
      <c r="D15" s="22" t="s">
        <v>43</v>
      </c>
      <c r="E15" s="22" t="s">
        <v>44</v>
      </c>
      <c r="F15" s="23">
        <v>0.03</v>
      </c>
      <c r="G15" s="24">
        <v>1</v>
      </c>
      <c r="H15" s="25">
        <f>F15 * G15 * 19379.592</f>
        <v>581.38775999999996</v>
      </c>
      <c r="I15" s="25">
        <f>F15 * G15 * 19459.706573</f>
        <v>583.79119718999993</v>
      </c>
      <c r="J15" s="25">
        <f>F15 * G15 * 0</f>
        <v>0</v>
      </c>
      <c r="K15" s="25">
        <f>F15 * G15 * 18449.371584</f>
        <v>553.48114752000004</v>
      </c>
      <c r="L15" s="25">
        <f>F15 * G15 * 6452.864093</f>
        <v>193.58592278999998</v>
      </c>
      <c r="M15" s="25">
        <f>F15 * G15 * 3875.9184</f>
        <v>116.277552</v>
      </c>
      <c r="N15" s="26">
        <f>SUM(H15:M15)</f>
        <v>2028.5235794999999</v>
      </c>
    </row>
    <row r="16" spans="1:14" s="17" customFormat="1" ht="12.75">
      <c r="B16" s="18"/>
      <c r="C16" s="19" t="s">
        <v>45</v>
      </c>
      <c r="D16" s="35" t="s">
        <v>46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2:14" ht="38.25">
      <c r="B17" s="20">
        <v>5</v>
      </c>
      <c r="C17" s="21" t="s">
        <v>47</v>
      </c>
      <c r="D17" s="22" t="s">
        <v>48</v>
      </c>
      <c r="E17" s="22" t="s">
        <v>49</v>
      </c>
      <c r="F17" s="23">
        <v>1</v>
      </c>
      <c r="G17" s="24">
        <v>1</v>
      </c>
      <c r="H17" s="25">
        <f>F17 * G17 * 31.45272</f>
        <v>31.452719999999999</v>
      </c>
      <c r="I17" s="25">
        <f>F17 * G17 * 9.873954</f>
        <v>9.8739539999999995</v>
      </c>
      <c r="J17" s="25">
        <f>F17 * G17 * 0</f>
        <v>0</v>
      </c>
      <c r="K17" s="25">
        <f>F17 * G17 * 29.942989</f>
        <v>29.942989000000001</v>
      </c>
      <c r="L17" s="25">
        <f>F17 * G17 * 8.182602</f>
        <v>8.1826019999999993</v>
      </c>
      <c r="M17" s="25">
        <f>F17 * G17 * 6.290544</f>
        <v>6.2905439999999997</v>
      </c>
      <c r="N17" s="26">
        <f>SUM(H17:M17)</f>
        <v>85.742808999999994</v>
      </c>
    </row>
    <row r="18" spans="2:14" s="17" customFormat="1" ht="12.75">
      <c r="B18" s="18"/>
      <c r="C18" s="19" t="s">
        <v>50</v>
      </c>
      <c r="D18" s="34" t="s">
        <v>51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2:14" ht="25.5">
      <c r="B19" s="20">
        <v>6</v>
      </c>
      <c r="C19" s="21" t="s">
        <v>52</v>
      </c>
      <c r="D19" s="22" t="s">
        <v>53</v>
      </c>
      <c r="E19" s="22" t="s">
        <v>54</v>
      </c>
      <c r="F19" s="23">
        <v>0.02</v>
      </c>
      <c r="G19" s="24">
        <v>1</v>
      </c>
      <c r="H19" s="25">
        <f>F19 * G19 * 20853.288</f>
        <v>417.06576000000001</v>
      </c>
      <c r="I19" s="25">
        <f>F19 * G19 * 14281.888527</f>
        <v>285.63777053999996</v>
      </c>
      <c r="J19" s="25">
        <f>F19 * G19 * 0</f>
        <v>0</v>
      </c>
      <c r="K19" s="25">
        <f>F19 * G19 * 19852.330176</f>
        <v>397.04660352000002</v>
      </c>
      <c r="L19" s="25">
        <f>F19 * G19 * 6241.186334</f>
        <v>124.82372668000001</v>
      </c>
      <c r="M19" s="25">
        <f>F19 * G19 * 4170.6576</f>
        <v>83.413151999999997</v>
      </c>
      <c r="N19" s="26">
        <f>SUM(H19:M19)</f>
        <v>1307.98701274</v>
      </c>
    </row>
    <row r="20" spans="2:14" s="14" customFormat="1" ht="15">
      <c r="B20" s="15"/>
      <c r="C20" s="16" t="s">
        <v>55</v>
      </c>
      <c r="D20" s="33" t="s">
        <v>56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1" spans="2:14" s="17" customFormat="1" ht="12.75">
      <c r="B21" s="18"/>
      <c r="C21" s="19" t="s">
        <v>57</v>
      </c>
      <c r="D21" s="34" t="s">
        <v>58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2:14" ht="25.5">
      <c r="B22" s="20">
        <v>7</v>
      </c>
      <c r="C22" s="21" t="s">
        <v>59</v>
      </c>
      <c r="D22" s="22" t="s">
        <v>60</v>
      </c>
      <c r="E22" s="22" t="s">
        <v>26</v>
      </c>
      <c r="F22" s="23">
        <v>0.03</v>
      </c>
      <c r="G22" s="24">
        <v>1</v>
      </c>
      <c r="H22" s="25">
        <f>F22 * G22 * 15983.683968</f>
        <v>479.51051903999996</v>
      </c>
      <c r="I22" s="25">
        <f>F22 * G22 * 5885.785638</f>
        <v>176.57356913999999</v>
      </c>
      <c r="J22" s="25">
        <f>F22 * G22 * 2.016014</f>
        <v>6.0480420000000007E-2</v>
      </c>
      <c r="K22" s="25">
        <f>F22 * G22 * 15216.467137</f>
        <v>456.49401410999997</v>
      </c>
      <c r="L22" s="25">
        <f>F22 * G22 * 4250.034748</f>
        <v>127.50104243999999</v>
      </c>
      <c r="M22" s="25">
        <f>F22 * G22 * 3196.736794</f>
        <v>95.902103819999994</v>
      </c>
      <c r="N22" s="26">
        <f>SUM(H22:M22)</f>
        <v>1336.0417289699999</v>
      </c>
    </row>
    <row r="23" spans="2:14" ht="25.5">
      <c r="B23" s="20">
        <v>8</v>
      </c>
      <c r="C23" s="21" t="s">
        <v>61</v>
      </c>
      <c r="D23" s="22" t="s">
        <v>62</v>
      </c>
      <c r="E23" s="22" t="s">
        <v>26</v>
      </c>
      <c r="F23" s="23">
        <v>0.03</v>
      </c>
      <c r="G23" s="24">
        <v>1</v>
      </c>
      <c r="H23" s="25">
        <f>F23 * G23 * 14892.674832</f>
        <v>446.78024496</v>
      </c>
      <c r="I23" s="25">
        <f>F23 * G23 * 24214.966772</f>
        <v>726.44900315999996</v>
      </c>
      <c r="J23" s="25">
        <f>F23 * G23 * 1.114113</f>
        <v>3.3423389999999997E-2</v>
      </c>
      <c r="K23" s="25">
        <f>F23 * G23 * 14177.82644</f>
        <v>425.33479319999998</v>
      </c>
      <c r="L23" s="25">
        <f>F23 * G23 * 5935.969857</f>
        <v>178.07909570999999</v>
      </c>
      <c r="M23" s="25">
        <f>F23 * G23 * 2978.534966</f>
        <v>89.356048979999997</v>
      </c>
      <c r="N23" s="26">
        <f>SUM(H23:M23)</f>
        <v>1866.0326094</v>
      </c>
    </row>
    <row r="24" spans="2:14" s="14" customFormat="1" ht="15">
      <c r="B24" s="15"/>
      <c r="C24" s="16" t="s">
        <v>63</v>
      </c>
      <c r="D24" s="33" t="s">
        <v>64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</row>
    <row r="25" spans="2:14" s="17" customFormat="1" ht="12.75">
      <c r="B25" s="18"/>
      <c r="C25" s="19" t="s">
        <v>65</v>
      </c>
      <c r="D25" s="34" t="s">
        <v>66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</row>
    <row r="26" spans="2:14" s="17" customFormat="1" ht="12.75">
      <c r="B26" s="18"/>
      <c r="C26" s="19" t="s">
        <v>67</v>
      </c>
      <c r="D26" s="35" t="s">
        <v>68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2:14" ht="25.5">
      <c r="B27" s="20">
        <v>9</v>
      </c>
      <c r="C27" s="21" t="s">
        <v>69</v>
      </c>
      <c r="D27" s="22" t="s">
        <v>70</v>
      </c>
      <c r="E27" s="22" t="s">
        <v>26</v>
      </c>
      <c r="F27" s="23">
        <v>14.4</v>
      </c>
      <c r="G27" s="24">
        <v>1</v>
      </c>
      <c r="H27" s="25">
        <f>F27 * G27 * 950.793</f>
        <v>13691.4192</v>
      </c>
      <c r="I27" s="25">
        <f>F27 * G27 * 7.170829</f>
        <v>103.2599376</v>
      </c>
      <c r="J27" s="25">
        <f>F27 * G27 * 0</f>
        <v>0</v>
      </c>
      <c r="K27" s="25">
        <f>F27 * G27 * 905.154935999999</f>
        <v>13034.231078399986</v>
      </c>
      <c r="L27" s="25">
        <f>F27 * G27 * 216.620762</f>
        <v>3119.3389728000002</v>
      </c>
      <c r="M27" s="25">
        <f>F27 * G27 * 190.1586</f>
        <v>2738.2838400000001</v>
      </c>
      <c r="N27" s="26">
        <f>SUM(H27:M27)</f>
        <v>32686.533028799986</v>
      </c>
    </row>
    <row r="28" spans="2:14" ht="25.5">
      <c r="B28" s="20">
        <v>10</v>
      </c>
      <c r="C28" s="21" t="s">
        <v>71</v>
      </c>
      <c r="D28" s="22" t="s">
        <v>72</v>
      </c>
      <c r="E28" s="22" t="s">
        <v>26</v>
      </c>
      <c r="F28" s="23">
        <v>14.4</v>
      </c>
      <c r="G28" s="24">
        <v>1</v>
      </c>
      <c r="H28" s="25">
        <f>F28 * G28 * 400.009997</f>
        <v>5760.1439568000005</v>
      </c>
      <c r="I28" s="25">
        <f>F28 * G28 * 0</f>
        <v>0</v>
      </c>
      <c r="J28" s="25">
        <f>F28 * G28 * 68.046825</f>
        <v>979.87428</v>
      </c>
      <c r="K28" s="25">
        <f>F28 * G28 * 380.809517</f>
        <v>5483.6570448000002</v>
      </c>
      <c r="L28" s="25">
        <f>F28 * G28 * 97.99561</f>
        <v>1411.136784</v>
      </c>
      <c r="M28" s="25">
        <f>F28 * G28 * 80.001999</f>
        <v>1152.0287856</v>
      </c>
      <c r="N28" s="26">
        <f>SUM(H28:M28)</f>
        <v>14786.840851200001</v>
      </c>
    </row>
    <row r="29" spans="2:14" s="17" customFormat="1" ht="12.75">
      <c r="B29" s="18"/>
      <c r="C29" s="19" t="s">
        <v>73</v>
      </c>
      <c r="D29" s="35" t="s">
        <v>74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2:14" ht="25.5">
      <c r="B30" s="20">
        <v>11</v>
      </c>
      <c r="C30" s="21" t="s">
        <v>75</v>
      </c>
      <c r="D30" s="22" t="s">
        <v>76</v>
      </c>
      <c r="E30" s="22" t="s">
        <v>77</v>
      </c>
      <c r="F30" s="23">
        <v>43.2</v>
      </c>
      <c r="G30" s="24">
        <v>1</v>
      </c>
      <c r="H30" s="25">
        <f>F30 * G30 * 223.97976</f>
        <v>9675.9256320000004</v>
      </c>
      <c r="I30" s="25">
        <f>F30 * G30 * 0</f>
        <v>0</v>
      </c>
      <c r="J30" s="25">
        <f>F30 * G30 * 0</f>
        <v>0</v>
      </c>
      <c r="K30" s="25">
        <f>F30 * G30 * 213.228732</f>
        <v>9211.4812224000016</v>
      </c>
      <c r="L30" s="25">
        <f>F30 * G30 * 50.8514689999999</f>
        <v>2196.7834607999957</v>
      </c>
      <c r="M30" s="25">
        <f>F30 * G30 * 44.795952</f>
        <v>1935.1851264000002</v>
      </c>
      <c r="N30" s="26">
        <f>SUM(H30:M30)</f>
        <v>23019.375441600001</v>
      </c>
    </row>
    <row r="31" spans="2:14" s="17" customFormat="1" ht="12.75">
      <c r="B31" s="18"/>
      <c r="C31" s="19" t="s">
        <v>78</v>
      </c>
      <c r="D31" s="35" t="s">
        <v>79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spans="2:14" s="17" customFormat="1" ht="12.75">
      <c r="B32" s="18"/>
      <c r="C32" s="19" t="s">
        <v>80</v>
      </c>
      <c r="D32" s="36" t="s">
        <v>81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2:14" ht="25.5">
      <c r="B33" s="20">
        <v>12</v>
      </c>
      <c r="C33" s="21" t="s">
        <v>82</v>
      </c>
      <c r="D33" s="22" t="s">
        <v>83</v>
      </c>
      <c r="E33" s="22" t="s">
        <v>84</v>
      </c>
      <c r="F33" s="23">
        <v>0.06</v>
      </c>
      <c r="G33" s="24">
        <v>1</v>
      </c>
      <c r="H33" s="25">
        <f>F33 * G33 * 13548.864</f>
        <v>812.93183999999997</v>
      </c>
      <c r="I33" s="25">
        <f>F33 * G33 * 0</f>
        <v>0</v>
      </c>
      <c r="J33" s="25">
        <f>F33 * G33 * 0</f>
        <v>0</v>
      </c>
      <c r="K33" s="25">
        <f>F33 * G33 * 12898.518528</f>
        <v>773.91111167999998</v>
      </c>
      <c r="L33" s="25">
        <f>F33 * G33 * 3076.079887</f>
        <v>184.56479321999998</v>
      </c>
      <c r="M33" s="25">
        <f>F33 * G33 * 2709.7728</f>
        <v>162.58636799999999</v>
      </c>
      <c r="N33" s="26">
        <f>SUM(H33:M33)</f>
        <v>1933.9941128999999</v>
      </c>
    </row>
    <row r="34" spans="2:14" s="27" customFormat="1" ht="20.100000000000001" customHeight="1">
      <c r="B34" s="37" t="s">
        <v>85</v>
      </c>
      <c r="C34" s="37"/>
      <c r="D34" s="37"/>
      <c r="E34" s="37"/>
      <c r="F34" s="37"/>
      <c r="G34" s="37"/>
      <c r="H34" s="28">
        <f t="shared" ref="H34:N34" si="0">SUM(H4:H33)</f>
        <v>33983.494918999997</v>
      </c>
      <c r="I34" s="28">
        <f t="shared" si="0"/>
        <v>4140.7548959400001</v>
      </c>
      <c r="J34" s="28">
        <f t="shared" si="0"/>
        <v>979.96818381000003</v>
      </c>
      <c r="K34" s="28">
        <f t="shared" si="0"/>
        <v>32352.287181099986</v>
      </c>
      <c r="L34" s="28">
        <f t="shared" si="0"/>
        <v>8255.7130504599972</v>
      </c>
      <c r="M34" s="28">
        <f t="shared" si="0"/>
        <v>6796.6989780399999</v>
      </c>
      <c r="N34" s="29">
        <f t="shared" si="0"/>
        <v>86508.917208349972</v>
      </c>
    </row>
  </sheetData>
  <mergeCells count="22">
    <mergeCell ref="D32:N32"/>
    <mergeCell ref="B34:G34"/>
    <mergeCell ref="D24:N24"/>
    <mergeCell ref="D25:N25"/>
    <mergeCell ref="D26:N26"/>
    <mergeCell ref="D29:N29"/>
    <mergeCell ref="D31:N31"/>
    <mergeCell ref="D14:N14"/>
    <mergeCell ref="D16:N16"/>
    <mergeCell ref="D18:N18"/>
    <mergeCell ref="D20:N20"/>
    <mergeCell ref="D21:N21"/>
    <mergeCell ref="D6:N6"/>
    <mergeCell ref="D8:N8"/>
    <mergeCell ref="D9:N9"/>
    <mergeCell ref="D10:N10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&amp;C&amp;KCCCCCC&amp;"Arial"Бундурина 60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Бундурина 60</dc:title>
  <dc:creator/>
  <cp:lastModifiedBy/>
  <cp:lastPrinted>2022-03-21T13:59:21Z</cp:lastPrinted>
  <dcterms:created xsi:type="dcterms:W3CDTF">2022-03-21T13:59:21Z</dcterms:created>
  <dcterms:modified xsi:type="dcterms:W3CDTF">2022-03-21T13:59:44Z</dcterms:modified>
</cp:coreProperties>
</file>