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0" i="1"/>
  <c r="L30"/>
  <c r="K30"/>
  <c r="J30"/>
  <c r="I30"/>
  <c r="H30"/>
  <c r="N30" s="1"/>
  <c r="M27"/>
  <c r="L27"/>
  <c r="K27"/>
  <c r="J27"/>
  <c r="I27"/>
  <c r="H27"/>
  <c r="N27" s="1"/>
  <c r="M25"/>
  <c r="L25"/>
  <c r="K25"/>
  <c r="J25"/>
  <c r="I25"/>
  <c r="H25"/>
  <c r="N25" s="1"/>
  <c r="M24"/>
  <c r="L24"/>
  <c r="K24"/>
  <c r="J24"/>
  <c r="N24" s="1"/>
  <c r="I24"/>
  <c r="H24"/>
  <c r="M20"/>
  <c r="L20"/>
  <c r="K20"/>
  <c r="J20"/>
  <c r="I20"/>
  <c r="N20" s="1"/>
  <c r="H20"/>
  <c r="M18"/>
  <c r="L18"/>
  <c r="K18"/>
  <c r="J18"/>
  <c r="I18"/>
  <c r="H18"/>
  <c r="N18" s="1"/>
  <c r="M14"/>
  <c r="L14"/>
  <c r="K14"/>
  <c r="J14"/>
  <c r="I14"/>
  <c r="H14"/>
  <c r="N14" s="1"/>
  <c r="M13"/>
  <c r="L13"/>
  <c r="K13"/>
  <c r="J13"/>
  <c r="N13" s="1"/>
  <c r="I13"/>
  <c r="H13"/>
  <c r="M9"/>
  <c r="L9"/>
  <c r="K9"/>
  <c r="J9"/>
  <c r="I9"/>
  <c r="N9" s="1"/>
  <c r="H9"/>
  <c r="M6"/>
  <c r="M31" s="1"/>
  <c r="L6"/>
  <c r="L31" s="1"/>
  <c r="K6"/>
  <c r="K31" s="1"/>
  <c r="J6"/>
  <c r="J31" s="1"/>
  <c r="I6"/>
  <c r="I31" s="1"/>
  <c r="H6"/>
  <c r="H31" s="1"/>
  <c r="N6" l="1"/>
  <c r="N31" s="1"/>
</calcChain>
</file>

<file path=xl/sharedStrings.xml><?xml version="1.0" encoding="utf-8"?>
<sst xmlns="http://schemas.openxmlformats.org/spreadsheetml/2006/main" count="84" uniqueCount="80">
  <si>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</si>
  <si>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</si>
  <si>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</si>
  <si>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</si>
  <si>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</si>
  <si>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</si>
  <si>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</si>
  <si>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</si>
  <si>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</si>
  <si>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</si>
  <si>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</si>
  <si>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</si>
  <si>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</si>
  <si>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</si>
  <si>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Гоголевская 86а</t>
  </si>
  <si>
    <t>Дата изменения:</t>
  </si>
  <si>
    <t>21.03.2022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</si>
  <si>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</si>
  <si>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</si>
  <si>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</si>
  <si>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</si>
  <si>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</si>
  <si>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</si>
  <si>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</si>
  <si>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</si>
  <si>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1.11</t>
  </si>
  <si>
    <t>Печи</t>
  </si>
  <si>
    <t>1.11.2</t>
  </si>
  <si>
    <t>Ликвидация  трещин в  печах и  трубах,  щелей  вокруг  разделки и  выпадения из  нее кирпичей</t>
  </si>
  <si>
    <t>1.11.2.3</t>
  </si>
  <si>
    <t>Оштукатуривание известковыми составами печей, стояков и труб</t>
  </si>
  <si>
    <t xml:space="preserve">100 м2 поверхности 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</si>
  <si>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</si>
  <si>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</si>
  <si>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</si>
  <si>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</si>
  <si>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</si>
  <si>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</si>
  <si>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2.1.2.1.1</t>
  </si>
  <si>
    <t>Смена отдельных участков трубопроводов из стальных водогазопроводных неоцинкованных труб диаметром 15 мм</t>
  </si>
  <si>
    <t>100 м трубопровода</t>
  </si>
  <si>
    <t>2.1.2.1.6</t>
  </si>
  <si>
    <t>Смена отдельных участков трубопроводов из стальных водогазопроводных неоцинкованных труб диаметром 50 мм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</si>
  <si>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</si>
  <si>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</si>
  <si>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</si>
  <si>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</si>
  <si>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2.2.1.6</t>
  </si>
  <si>
    <t>Временная заделка свищей и трещин на внутренних трубопроводах и стояках</t>
  </si>
  <si>
    <t>2.2.1.6.1</t>
  </si>
  <si>
    <t>Временная заделка свищей и трещин на внутренних трубопроводах и стояках при диаметре трубопровода до 50 мм</t>
  </si>
  <si>
    <t>100 мест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</si>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</sst>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0.15</v>
      </c>
      <c r="G6" s="24">
        <v>1</v>
      </c>
      <c r="H6" s="25">
        <f>F6 * G6 * 1717.8024</f>
        <v>257.67036000000002</v>
      </c>
      <c r="I6" s="25">
        <f>F6 * G6 * 2684.13</f>
        <v>402.61950000000002</v>
      </c>
      <c r="J6" s="25">
        <f>F6 * G6 * 0</f>
        <v>0</v>
      </c>
      <c r="K6" s="25">
        <f>F6 * G6 * 1635.347885</f>
        <v>245.30218274999999</v>
      </c>
      <c r="L6" s="25">
        <f>F6 * G6 * 673.178701</f>
        <v>100.97680515</v>
      </c>
      <c r="M6" s="25">
        <f>F6 * G6 * 343.56048</f>
        <v>51.534071999999995</v>
      </c>
      <c r="N6" s="26">
        <f>SUM(H6:M6)</f>
        <v>1058.1029199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25.5">
      <c r="B9" s="20">
        <v>2</v>
      </c>
      <c r="C9" s="21" t="s">
        <v>29</v>
      </c>
      <c r="D9" s="22" t="s">
        <v>30</v>
      </c>
      <c r="E9" s="22" t="s">
        <v>31</v>
      </c>
      <c r="F9" s="23">
        <v>0.16</v>
      </c>
      <c r="G9" s="24">
        <v>1</v>
      </c>
      <c r="H9" s="25">
        <f>F9 * G9 * 34644.1776</f>
        <v>5543.068416000001</v>
      </c>
      <c r="I9" s="25">
        <f>F9 * G9 * 6058.806936</f>
        <v>969.40910975999998</v>
      </c>
      <c r="J9" s="25">
        <f>F9 * G9 * 6.15769</f>
        <v>0.98523039999999995</v>
      </c>
      <c r="K9" s="25">
        <f>F9 * G9 * 32981.257075</f>
        <v>5277.0011320000003</v>
      </c>
      <c r="L9" s="25">
        <f>F9 * G9 * 8505.329274</f>
        <v>1360.8526838400001</v>
      </c>
      <c r="M9" s="25">
        <f>F9 * G9 * 6928.83552</f>
        <v>1108.6136832</v>
      </c>
      <c r="N9" s="26">
        <f>SUM(H9:M9)</f>
        <v>14259.930255199999</v>
      </c>
    </row>
    <row r="10" spans="1:14" s="14" customFormat="1" ht="15">
      <c r="B10" s="15"/>
      <c r="C10" s="16" t="s">
        <v>32</v>
      </c>
      <c r="D10" s="33" t="s">
        <v>33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s="17" customFormat="1" ht="12.75">
      <c r="B11" s="18"/>
      <c r="C11" s="19" t="s">
        <v>34</v>
      </c>
      <c r="D11" s="34" t="s">
        <v>35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s="17" customFormat="1" ht="12.75">
      <c r="B12" s="18"/>
      <c r="C12" s="19" t="s">
        <v>36</v>
      </c>
      <c r="D12" s="35" t="s">
        <v>37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38.25">
      <c r="B13" s="20">
        <v>3</v>
      </c>
      <c r="C13" s="21" t="s">
        <v>38</v>
      </c>
      <c r="D13" s="22" t="s">
        <v>39</v>
      </c>
      <c r="E13" s="22" t="s">
        <v>40</v>
      </c>
      <c r="F13" s="23">
        <v>0.04</v>
      </c>
      <c r="G13" s="24">
        <v>1</v>
      </c>
      <c r="H13" s="25">
        <f>F13 * G13 * 21019.178855</f>
        <v>840.76715419999994</v>
      </c>
      <c r="I13" s="25">
        <f>F13 * G13 * 9007.831335</f>
        <v>360.31325340000006</v>
      </c>
      <c r="J13" s="25">
        <f>F13 * G13 * 0</f>
        <v>0</v>
      </c>
      <c r="K13" s="25">
        <f>F13 * G13 * 20010.25827</f>
        <v>800.4103308</v>
      </c>
      <c r="L13" s="25">
        <f>F13 * G13 * 5722.436496</f>
        <v>228.89745984000001</v>
      </c>
      <c r="M13" s="25">
        <f>F13 * G13 * 4203.835771</f>
        <v>168.15343084</v>
      </c>
      <c r="N13" s="26">
        <f>SUM(H13:M13)</f>
        <v>2398.5416290799999</v>
      </c>
    </row>
    <row r="14" spans="1:14" ht="38.25">
      <c r="B14" s="20">
        <v>4</v>
      </c>
      <c r="C14" s="21" t="s">
        <v>41</v>
      </c>
      <c r="D14" s="22" t="s">
        <v>42</v>
      </c>
      <c r="E14" s="22" t="s">
        <v>40</v>
      </c>
      <c r="F14" s="23">
        <v>0.13</v>
      </c>
      <c r="G14" s="24">
        <v>1</v>
      </c>
      <c r="H14" s="25">
        <f>F14 * G14 * 27433.206</f>
        <v>3566.3167800000001</v>
      </c>
      <c r="I14" s="25">
        <f>F14 * G14 * 34834.490663</f>
        <v>4528.4837861899996</v>
      </c>
      <c r="J14" s="25">
        <f>F14 * G14 * 0</f>
        <v>0</v>
      </c>
      <c r="K14" s="25">
        <f>F14 * G14 * 26116.412112</f>
        <v>3395.1335745600004</v>
      </c>
      <c r="L14" s="25">
        <f>F14 * G14 * 9903.364122</f>
        <v>1287.4373358600001</v>
      </c>
      <c r="M14" s="25">
        <f>F14 * G14 * 5486.6412</f>
        <v>713.26335600000004</v>
      </c>
      <c r="N14" s="26">
        <f>SUM(H14:M14)</f>
        <v>13490.63483261</v>
      </c>
    </row>
    <row r="15" spans="1:14" s="14" customFormat="1" ht="15">
      <c r="B15" s="15"/>
      <c r="C15" s="16" t="s">
        <v>43</v>
      </c>
      <c r="D15" s="33" t="s">
        <v>44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s="17" customFormat="1" ht="12.75">
      <c r="B16" s="18"/>
      <c r="C16" s="19" t="s">
        <v>45</v>
      </c>
      <c r="D16" s="34" t="s">
        <v>46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2:14" s="17" customFormat="1" ht="12.75">
      <c r="B17" s="18"/>
      <c r="C17" s="19" t="s">
        <v>47</v>
      </c>
      <c r="D17" s="35" t="s">
        <v>48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spans="2:14" ht="38.25">
      <c r="B18" s="20">
        <v>5</v>
      </c>
      <c r="C18" s="21" t="s">
        <v>49</v>
      </c>
      <c r="D18" s="22" t="s">
        <v>50</v>
      </c>
      <c r="E18" s="22" t="s">
        <v>51</v>
      </c>
      <c r="F18" s="23">
        <v>0.02</v>
      </c>
      <c r="G18" s="24">
        <v>1</v>
      </c>
      <c r="H18" s="25">
        <f>F18 * G18 * 8951.928</f>
        <v>179.03855999999999</v>
      </c>
      <c r="I18" s="25">
        <f>F18 * G18 * 32848.688063</f>
        <v>656.97376126000006</v>
      </c>
      <c r="J18" s="25">
        <f>F18 * G18 * 0</f>
        <v>0</v>
      </c>
      <c r="K18" s="25">
        <f>F18 * G18 * 8522.235456</f>
        <v>170.44470912</v>
      </c>
      <c r="L18" s="25">
        <f>F18 * G18 * 5497.946516</f>
        <v>109.95893032000001</v>
      </c>
      <c r="M18" s="25">
        <f>F18 * G18 * 1790.3856</f>
        <v>35.807712000000002</v>
      </c>
      <c r="N18" s="26">
        <f>SUM(H18:M18)</f>
        <v>1152.2236727</v>
      </c>
    </row>
    <row r="19" spans="2:14" s="17" customFormat="1" ht="12.75">
      <c r="B19" s="18"/>
      <c r="C19" s="19" t="s">
        <v>52</v>
      </c>
      <c r="D19" s="35" t="s">
        <v>53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2:14" ht="38.25">
      <c r="B20" s="20">
        <v>6</v>
      </c>
      <c r="C20" s="21" t="s">
        <v>54</v>
      </c>
      <c r="D20" s="22" t="s">
        <v>55</v>
      </c>
      <c r="E20" s="22" t="s">
        <v>56</v>
      </c>
      <c r="F20" s="23">
        <v>1</v>
      </c>
      <c r="G20" s="24">
        <v>1</v>
      </c>
      <c r="H20" s="25">
        <f>F20 * G20 * 31.45272</f>
        <v>31.452719999999999</v>
      </c>
      <c r="I20" s="25">
        <f>F20 * G20 * 3.168864</f>
        <v>3.1688640000000001</v>
      </c>
      <c r="J20" s="25">
        <f>F20 * G20 * 0</f>
        <v>0</v>
      </c>
      <c r="K20" s="25">
        <f>F20 * G20 * 29.942989</f>
        <v>29.942989000000001</v>
      </c>
      <c r="L20" s="25">
        <f>F20 * G20 * 7.47521499999999</f>
        <v>7.4752149999999897</v>
      </c>
      <c r="M20" s="25">
        <f>F20 * G20 * 6.290544</f>
        <v>6.2905439999999997</v>
      </c>
      <c r="N20" s="26">
        <f>SUM(H20:M20)</f>
        <v>78.330331999999984</v>
      </c>
    </row>
    <row r="21" spans="2:14" s="14" customFormat="1" ht="15">
      <c r="B21" s="15"/>
      <c r="C21" s="16" t="s">
        <v>57</v>
      </c>
      <c r="D21" s="33" t="s">
        <v>58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2:14" s="17" customFormat="1" ht="12.75">
      <c r="B22" s="18"/>
      <c r="C22" s="19" t="s">
        <v>59</v>
      </c>
      <c r="D22" s="34" t="s">
        <v>60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2:14" s="17" customFormat="1" ht="12.75">
      <c r="B23" s="18"/>
      <c r="C23" s="19" t="s">
        <v>61</v>
      </c>
      <c r="D23" s="35" t="s">
        <v>62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2:14" ht="25.5">
      <c r="B24" s="20">
        <v>7</v>
      </c>
      <c r="C24" s="21" t="s">
        <v>63</v>
      </c>
      <c r="D24" s="22" t="s">
        <v>64</v>
      </c>
      <c r="E24" s="22" t="s">
        <v>40</v>
      </c>
      <c r="F24" s="23">
        <v>19.2</v>
      </c>
      <c r="G24" s="24">
        <v>1</v>
      </c>
      <c r="H24" s="25">
        <f>F24 * G24 * 950.793</f>
        <v>18255.225599999998</v>
      </c>
      <c r="I24" s="25">
        <f>F24 * G24 * 7.170829</f>
        <v>137.6799168</v>
      </c>
      <c r="J24" s="25">
        <f>F24 * G24 * 0</f>
        <v>0</v>
      </c>
      <c r="K24" s="25">
        <f>F24 * G24 * 905.154935999999</f>
        <v>17378.974771199981</v>
      </c>
      <c r="L24" s="25">
        <f>F24 * G24 * 216.620762</f>
        <v>4159.1186304000003</v>
      </c>
      <c r="M24" s="25">
        <f>F24 * G24 * 190.1586</f>
        <v>3651.0451200000002</v>
      </c>
      <c r="N24" s="26">
        <f>SUM(H24:M24)</f>
        <v>43582.044038399981</v>
      </c>
    </row>
    <row r="25" spans="2:14" ht="25.5">
      <c r="B25" s="20">
        <v>8</v>
      </c>
      <c r="C25" s="21" t="s">
        <v>65</v>
      </c>
      <c r="D25" s="22" t="s">
        <v>66</v>
      </c>
      <c r="E25" s="22" t="s">
        <v>40</v>
      </c>
      <c r="F25" s="23">
        <v>19.2</v>
      </c>
      <c r="G25" s="24">
        <v>1</v>
      </c>
      <c r="H25" s="25">
        <f>F25 * G25 * 400.009997</f>
        <v>7680.1919423999998</v>
      </c>
      <c r="I25" s="25">
        <f>F25 * G25 * 0</f>
        <v>0</v>
      </c>
      <c r="J25" s="25">
        <f>F25 * G25 * 68.046825</f>
        <v>1306.4990399999999</v>
      </c>
      <c r="K25" s="25">
        <f>F25 * G25 * 380.809517</f>
        <v>7311.5427264</v>
      </c>
      <c r="L25" s="25">
        <f>F25 * G25 * 97.99561</f>
        <v>1881.5157119999999</v>
      </c>
      <c r="M25" s="25">
        <f>F25 * G25 * 80.001999</f>
        <v>1536.0383807999999</v>
      </c>
      <c r="N25" s="26">
        <f>SUM(H25:M25)</f>
        <v>19715.7878016</v>
      </c>
    </row>
    <row r="26" spans="2:14" s="17" customFormat="1" ht="12.75">
      <c r="B26" s="18"/>
      <c r="C26" s="19" t="s">
        <v>67</v>
      </c>
      <c r="D26" s="35" t="s">
        <v>68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2:14" ht="25.5">
      <c r="B27" s="20">
        <v>9</v>
      </c>
      <c r="C27" s="21" t="s">
        <v>69</v>
      </c>
      <c r="D27" s="22" t="s">
        <v>70</v>
      </c>
      <c r="E27" s="22" t="s">
        <v>71</v>
      </c>
      <c r="F27" s="23">
        <v>57.6</v>
      </c>
      <c r="G27" s="24">
        <v>1</v>
      </c>
      <c r="H27" s="25">
        <f>F27 * G27 * 223.97976</f>
        <v>12901.234176</v>
      </c>
      <c r="I27" s="25">
        <f>F27 * G27 * 0</f>
        <v>0</v>
      </c>
      <c r="J27" s="25">
        <f>F27 * G27 * 0</f>
        <v>0</v>
      </c>
      <c r="K27" s="25">
        <f>F27 * G27 * 213.228732</f>
        <v>12281.9749632</v>
      </c>
      <c r="L27" s="25">
        <f>F27 * G27 * 50.8514689999999</f>
        <v>2929.0446143999943</v>
      </c>
      <c r="M27" s="25">
        <f>F27 * G27 * 44.795952</f>
        <v>2580.2468352000001</v>
      </c>
      <c r="N27" s="26">
        <f>SUM(H27:M27)</f>
        <v>30692.500588799994</v>
      </c>
    </row>
    <row r="28" spans="2:14" s="17" customFormat="1" ht="12.75">
      <c r="B28" s="18"/>
      <c r="C28" s="19" t="s">
        <v>72</v>
      </c>
      <c r="D28" s="35" t="s">
        <v>73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spans="2:14" s="17" customFormat="1" ht="12.75">
      <c r="B29" s="18"/>
      <c r="C29" s="19" t="s">
        <v>74</v>
      </c>
      <c r="D29" s="36" t="s">
        <v>75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</row>
    <row r="30" spans="2:14" ht="25.5">
      <c r="B30" s="20">
        <v>10</v>
      </c>
      <c r="C30" s="21" t="s">
        <v>76</v>
      </c>
      <c r="D30" s="22" t="s">
        <v>77</v>
      </c>
      <c r="E30" s="22" t="s">
        <v>78</v>
      </c>
      <c r="F30" s="23">
        <v>0.02</v>
      </c>
      <c r="G30" s="24">
        <v>1</v>
      </c>
      <c r="H30" s="25">
        <f>F30 * G30 * 13548.864</f>
        <v>270.97728000000001</v>
      </c>
      <c r="I30" s="25">
        <f>F30 * G30 * 0</f>
        <v>0</v>
      </c>
      <c r="J30" s="25">
        <f>F30 * G30 * 0</f>
        <v>0</v>
      </c>
      <c r="K30" s="25">
        <f>F30 * G30 * 12898.518528</f>
        <v>257.97037055999999</v>
      </c>
      <c r="L30" s="25">
        <f>F30 * G30 * 3076.079887</f>
        <v>61.521597739999997</v>
      </c>
      <c r="M30" s="25">
        <f>F30 * G30 * 2709.7728</f>
        <v>54.195456000000007</v>
      </c>
      <c r="N30" s="26">
        <f>SUM(H30:M30)</f>
        <v>644.66470430000004</v>
      </c>
    </row>
    <row r="31" spans="2:14" s="27" customFormat="1" ht="20.100000000000001" customHeight="1">
      <c r="B31" s="37" t="s">
        <v>79</v>
      </c>
      <c r="C31" s="37"/>
      <c r="D31" s="37"/>
      <c r="E31" s="37"/>
      <c r="F31" s="37"/>
      <c r="G31" s="37"/>
      <c r="H31" s="28">
        <f t="shared" ref="H31:N31" si="0">SUM(H4:H30)</f>
        <v>49525.9429886</v>
      </c>
      <c r="I31" s="28">
        <f t="shared" si="0"/>
        <v>7058.6481914099995</v>
      </c>
      <c r="J31" s="28">
        <f t="shared" si="0"/>
        <v>1307.4842704</v>
      </c>
      <c r="K31" s="28">
        <f t="shared" si="0"/>
        <v>47148.697749589985</v>
      </c>
      <c r="L31" s="28">
        <f t="shared" si="0"/>
        <v>12126.798984549996</v>
      </c>
      <c r="M31" s="28">
        <f t="shared" si="0"/>
        <v>9905.1885900399993</v>
      </c>
      <c r="N31" s="29">
        <f t="shared" si="0"/>
        <v>127072.76077458999</v>
      </c>
    </row>
  </sheetData>
  <mergeCells count="21">
    <mergeCell ref="B31:G31"/>
    <mergeCell ref="D22:N22"/>
    <mergeCell ref="D23:N23"/>
    <mergeCell ref="D26:N26"/>
    <mergeCell ref="D28:N28"/>
    <mergeCell ref="D29:N29"/>
    <mergeCell ref="D15:N15"/>
    <mergeCell ref="D16:N16"/>
    <mergeCell ref="D17:N17"/>
    <mergeCell ref="D19:N19"/>
    <mergeCell ref="D21:N21"/>
    <mergeCell ref="D7:N7"/>
    <mergeCell ref="D8:N8"/>
    <mergeCell ref="D10:N10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&amp;C&amp;KCCCCCC&amp;"Arial"Гоголевская 86а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Гоголевская 86а</dc:title>
  <dc:creator/>
  <cp:lastModifiedBy/>
  <cp:lastPrinted>2022-03-21T08:40:06Z</cp:lastPrinted>
  <dcterms:created xsi:type="dcterms:W3CDTF">2022-03-21T08:40:06Z</dcterms:created>
  <dcterms:modified xsi:type="dcterms:W3CDTF">2022-03-21T08:41:02Z</dcterms:modified>
</cp:coreProperties>
</file>