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525" windowWidth="19815" windowHeight="736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23" i="1"/>
  <c r="L23"/>
  <c r="K23"/>
  <c r="J23"/>
  <c r="I23"/>
  <c r="H23"/>
  <c r="N23" s="1"/>
  <c r="M21"/>
  <c r="L21"/>
  <c r="K21"/>
  <c r="J21"/>
  <c r="I21"/>
  <c r="H21"/>
  <c r="N21" s="1"/>
  <c r="M20"/>
  <c r="L20"/>
  <c r="K20"/>
  <c r="J20"/>
  <c r="N20" s="1"/>
  <c r="I20"/>
  <c r="H20"/>
  <c r="M16"/>
  <c r="M24" s="1"/>
  <c r="L16"/>
  <c r="K16"/>
  <c r="J16"/>
  <c r="I16"/>
  <c r="I24" s="1"/>
  <c r="H16"/>
  <c r="M13"/>
  <c r="L13"/>
  <c r="K13"/>
  <c r="J13"/>
  <c r="I13"/>
  <c r="H13"/>
  <c r="N13" s="1"/>
  <c r="M10"/>
  <c r="L10"/>
  <c r="K10"/>
  <c r="J10"/>
  <c r="I10"/>
  <c r="H10"/>
  <c r="N10" s="1"/>
  <c r="M6"/>
  <c r="L6"/>
  <c r="L24" s="1"/>
  <c r="K6"/>
  <c r="K24" s="1"/>
  <c r="J6"/>
  <c r="N6" s="1"/>
  <c r="I6"/>
  <c r="H6"/>
  <c r="H24" s="1"/>
  <c r="N16" l="1"/>
  <c r="N24" s="1"/>
  <c r="J24"/>
</calcChain>
</file>

<file path=xl/sharedStrings.xml><?xml version="1.0" encoding="utf-8"?>
<sst xmlns="http://schemas.openxmlformats.org/spreadsheetml/2006/main" count="67" uniqueCount="65">
  <si>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</si>
  <si>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</si>
  <si>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</si>
  <si>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</si>
  <si>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</si>
  <si>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</si>
  <si>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</si>
  <si>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</si>
  <si>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</si>
  <si>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</si>
  <si>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</si>
  <si>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</si>
  <si>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</si>
  <si>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</si>
  <si>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Дм. Ульянова 10</t>
  </si>
  <si>
    <t>Дата изменения:</t>
  </si>
  <si>
    <t>21.03.2022</t>
  </si>
  <si>
    <t>Общая площадь, кв.м:</t>
  </si>
  <si>
    <t>1.1</t>
  </si>
  <si>
    <t>Фундаменты</t>
  </si>
  <si>
    <t>1.1.1</t>
  </si>
  <si>
    <t>Устранение  повреждений  фундаментов</t>
  </si>
  <si>
    <t>1.1.1.1</t>
  </si>
  <si>
    <t>Усиление фундаментов цементацией</t>
  </si>
  <si>
    <t>100 м3 фундамента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</si>
  <si>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</si>
  <si>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</si>
  <si>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</si>
  <si>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</si>
  <si>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2.1.2.3</t>
  </si>
  <si>
    <t xml:space="preserve">Модернизация внутридомовых тепловых сетей путем замены на трубопроводы из многослойных металл-полимерных труб при стояковой системе отопления </t>
  </si>
  <si>
    <t>2.1.2.3.1</t>
  </si>
  <si>
    <t>Модернизация внутридомовых тепловых сетей путем замены на трубопроводы из многослойных металл-полимерных труб при стояковой системе отопления диаметром до 20 мм</t>
  </si>
  <si>
    <t>пог.м.</t>
  </si>
  <si>
    <t>2.1.8</t>
  </si>
  <si>
    <t>Ремонт  насосов,  магистральной запорной арматуры,  автоматических устройств</t>
  </si>
  <si>
    <t>2.1.8.8</t>
  </si>
  <si>
    <t>Смена вентиля</t>
  </si>
  <si>
    <t>2.1.8.8.1</t>
  </si>
  <si>
    <t>Смена вентиля диаметром до 25 мм</t>
  </si>
  <si>
    <t>100 вентилей</t>
  </si>
  <si>
    <t>2.5</t>
  </si>
  <si>
    <t>Внутридомовое электро-, радио- и телеоборудование</t>
  </si>
  <si>
    <t>2.5.7</t>
  </si>
  <si>
    <t>Ремонт,  замена  осветительных установок  помещений   общего  пользования</t>
  </si>
  <si>
    <t>2.5.7.10</t>
  </si>
  <si>
    <t>Замена лампы на светодиодную</t>
  </si>
  <si>
    <t>1 лампа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</si>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</sst>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4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0.01</v>
      </c>
      <c r="G6" s="24">
        <v>1</v>
      </c>
      <c r="H6" s="25">
        <f>F6 * G6 * 138064.58064</f>
        <v>1380.6458064000001</v>
      </c>
      <c r="I6" s="25">
        <f>F6 * G6 * 335386.371911</f>
        <v>3353.8637191100001</v>
      </c>
      <c r="J6" s="25">
        <f>F6 * G6 * 876.5064</f>
        <v>8.7650640000000006</v>
      </c>
      <c r="K6" s="25">
        <f>F6 * G6 * 131437.480769</f>
        <v>1314.3748076899999</v>
      </c>
      <c r="L6" s="25">
        <f>F6 * G6 * 66821.363792</f>
        <v>668.21363792</v>
      </c>
      <c r="M6" s="25">
        <f>F6 * G6 * 27612.916128</f>
        <v>276.12916128000001</v>
      </c>
      <c r="N6" s="26">
        <f>SUM(H6:M6)</f>
        <v>7001.9921964000005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51">
      <c r="B10" s="20">
        <v>2</v>
      </c>
      <c r="C10" s="21" t="s">
        <v>31</v>
      </c>
      <c r="D10" s="22" t="s">
        <v>32</v>
      </c>
      <c r="E10" s="22" t="s">
        <v>33</v>
      </c>
      <c r="F10" s="23">
        <v>3.5</v>
      </c>
      <c r="G10" s="24">
        <v>1</v>
      </c>
      <c r="H10" s="25">
        <f>F10 * G10 * 439.45272</f>
        <v>1538.0845199999999</v>
      </c>
      <c r="I10" s="25">
        <f>F10 * G10 * 215.58771</f>
        <v>754.55698499999994</v>
      </c>
      <c r="J10" s="25">
        <f>F10 * G10 * 0</f>
        <v>0</v>
      </c>
      <c r="K10" s="25">
        <f>F10 * G10 * 418.358989</f>
        <v>1464.2564615000001</v>
      </c>
      <c r="L10" s="25">
        <f>F10 * G10 * 122.516091</f>
        <v>428.80631850000003</v>
      </c>
      <c r="M10" s="25">
        <f>F10 * G10 * 87.890544</f>
        <v>307.61690400000003</v>
      </c>
      <c r="N10" s="26">
        <f>SUM(H10:M10)</f>
        <v>4493.3211890000002</v>
      </c>
    </row>
    <row r="11" spans="1:14" s="17" customFormat="1" ht="12.75">
      <c r="B11" s="18"/>
      <c r="C11" s="19" t="s">
        <v>34</v>
      </c>
      <c r="D11" s="34" t="s">
        <v>35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s="17" customFormat="1" ht="12.75">
      <c r="B12" s="18"/>
      <c r="C12" s="19" t="s">
        <v>36</v>
      </c>
      <c r="D12" s="35" t="s">
        <v>37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>
      <c r="B13" s="20">
        <v>3</v>
      </c>
      <c r="C13" s="21" t="s">
        <v>38</v>
      </c>
      <c r="D13" s="22" t="s">
        <v>39</v>
      </c>
      <c r="E13" s="22" t="s">
        <v>40</v>
      </c>
      <c r="F13" s="23">
        <v>0.09</v>
      </c>
      <c r="G13" s="24">
        <v>1</v>
      </c>
      <c r="H13" s="25">
        <f>F13 * G13 * 14193.504</f>
        <v>1277.41536</v>
      </c>
      <c r="I13" s="25">
        <f>F13 * G13 * 11401.039579</f>
        <v>1026.09356211</v>
      </c>
      <c r="J13" s="25">
        <f>F13 * G13 * 0</f>
        <v>0</v>
      </c>
      <c r="K13" s="25">
        <f>F13 * G13 * 13512.2158079999</f>
        <v>1216.099422719991</v>
      </c>
      <c r="L13" s="25">
        <f>F13 * G13 * 4425.24605</f>
        <v>398.27214449999997</v>
      </c>
      <c r="M13" s="25">
        <f>F13 * G13 * 2838.7008</f>
        <v>255.48307199999999</v>
      </c>
      <c r="N13" s="26">
        <f>SUM(H13:M13)</f>
        <v>4173.3635613299903</v>
      </c>
    </row>
    <row r="14" spans="1:14" s="14" customFormat="1" ht="15">
      <c r="B14" s="15"/>
      <c r="C14" s="16" t="s">
        <v>41</v>
      </c>
      <c r="D14" s="33" t="s">
        <v>42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14" s="17" customFormat="1" ht="12.75">
      <c r="B15" s="18"/>
      <c r="C15" s="19" t="s">
        <v>43</v>
      </c>
      <c r="D15" s="34" t="s">
        <v>44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>
      <c r="B16" s="20">
        <v>4</v>
      </c>
      <c r="C16" s="21" t="s">
        <v>45</v>
      </c>
      <c r="D16" s="22" t="s">
        <v>46</v>
      </c>
      <c r="E16" s="22" t="s">
        <v>47</v>
      </c>
      <c r="F16" s="23">
        <v>4</v>
      </c>
      <c r="G16" s="24">
        <v>1</v>
      </c>
      <c r="H16" s="25">
        <f>F16 * G16 * 22.98468</f>
        <v>91.938720000000004</v>
      </c>
      <c r="I16" s="25">
        <f>F16 * G16 * 54.672</f>
        <v>218.68799999999999</v>
      </c>
      <c r="J16" s="25">
        <f>F16 * G16 * 0</f>
        <v>0</v>
      </c>
      <c r="K16" s="25">
        <f>F16 * G16 * 21.881415</f>
        <v>87.525660000000002</v>
      </c>
      <c r="L16" s="25">
        <f>F16 * G16 * 10.986246</f>
        <v>43.944983999999998</v>
      </c>
      <c r="M16" s="25">
        <f>F16 * G16 * 4.596936</f>
        <v>18.387744000000001</v>
      </c>
      <c r="N16" s="26">
        <f>SUM(H16:M16)</f>
        <v>460.48510799999997</v>
      </c>
    </row>
    <row r="17" spans="2:14" s="14" customFormat="1" ht="15">
      <c r="B17" s="15"/>
      <c r="C17" s="16" t="s">
        <v>48</v>
      </c>
      <c r="D17" s="33" t="s">
        <v>49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2:14" s="17" customFormat="1" ht="12.75">
      <c r="B18" s="18"/>
      <c r="C18" s="19" t="s">
        <v>50</v>
      </c>
      <c r="D18" s="34" t="s">
        <v>51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2:14" s="17" customFormat="1" ht="12.75">
      <c r="B19" s="18"/>
      <c r="C19" s="19" t="s">
        <v>52</v>
      </c>
      <c r="D19" s="35" t="s">
        <v>53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2:14" ht="25.5">
      <c r="B20" s="20">
        <v>5</v>
      </c>
      <c r="C20" s="21" t="s">
        <v>54</v>
      </c>
      <c r="D20" s="22" t="s">
        <v>55</v>
      </c>
      <c r="E20" s="22" t="s">
        <v>56</v>
      </c>
      <c r="F20" s="23">
        <v>19.2</v>
      </c>
      <c r="G20" s="24">
        <v>1</v>
      </c>
      <c r="H20" s="25">
        <f>F20 * G20 * 950.793</f>
        <v>18255.225599999998</v>
      </c>
      <c r="I20" s="25">
        <f>F20 * G20 * 7.170829</f>
        <v>137.6799168</v>
      </c>
      <c r="J20" s="25">
        <f>F20 * G20 * 0</f>
        <v>0</v>
      </c>
      <c r="K20" s="25">
        <f>F20 * G20 * 905.154935999999</f>
        <v>17378.974771199981</v>
      </c>
      <c r="L20" s="25">
        <f>F20 * G20 * 216.620762</f>
        <v>4159.1186304000003</v>
      </c>
      <c r="M20" s="25">
        <f>F20 * G20 * 190.1586</f>
        <v>3651.0451200000002</v>
      </c>
      <c r="N20" s="26">
        <f>SUM(H20:M20)</f>
        <v>43582.044038399981</v>
      </c>
    </row>
    <row r="21" spans="2:14" ht="25.5">
      <c r="B21" s="20">
        <v>6</v>
      </c>
      <c r="C21" s="21" t="s">
        <v>57</v>
      </c>
      <c r="D21" s="22" t="s">
        <v>58</v>
      </c>
      <c r="E21" s="22" t="s">
        <v>56</v>
      </c>
      <c r="F21" s="23">
        <v>19.2</v>
      </c>
      <c r="G21" s="24">
        <v>1</v>
      </c>
      <c r="H21" s="25">
        <f>F21 * G21 * 400.009997</f>
        <v>7680.1919423999998</v>
      </c>
      <c r="I21" s="25">
        <f>F21 * G21 * 0</f>
        <v>0</v>
      </c>
      <c r="J21" s="25">
        <f>F21 * G21 * 68.046825</f>
        <v>1306.4990399999999</v>
      </c>
      <c r="K21" s="25">
        <f>F21 * G21 * 380.809517</f>
        <v>7311.5427264</v>
      </c>
      <c r="L21" s="25">
        <f>F21 * G21 * 97.99561</f>
        <v>1881.5157119999999</v>
      </c>
      <c r="M21" s="25">
        <f>F21 * G21 * 80.001999</f>
        <v>1536.0383807999999</v>
      </c>
      <c r="N21" s="26">
        <f>SUM(H21:M21)</f>
        <v>19715.7878016</v>
      </c>
    </row>
    <row r="22" spans="2:14" s="17" customFormat="1" ht="12.75">
      <c r="B22" s="18"/>
      <c r="C22" s="19" t="s">
        <v>59</v>
      </c>
      <c r="D22" s="35" t="s">
        <v>60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2:14" ht="25.5">
      <c r="B23" s="20">
        <v>7</v>
      </c>
      <c r="C23" s="21" t="s">
        <v>61</v>
      </c>
      <c r="D23" s="22" t="s">
        <v>62</v>
      </c>
      <c r="E23" s="22" t="s">
        <v>63</v>
      </c>
      <c r="F23" s="23">
        <v>19.2</v>
      </c>
      <c r="G23" s="24">
        <v>1</v>
      </c>
      <c r="H23" s="25">
        <f>F23 * G23 * 223.97976</f>
        <v>4300.411392</v>
      </c>
      <c r="I23" s="25">
        <f>F23 * G23 * 0</f>
        <v>0</v>
      </c>
      <c r="J23" s="25">
        <f>F23 * G23 * 0</f>
        <v>0</v>
      </c>
      <c r="K23" s="25">
        <f>F23 * G23 * 213.228732</f>
        <v>4093.9916543999998</v>
      </c>
      <c r="L23" s="25">
        <f>F23 * G23 * 50.8514689999999</f>
        <v>976.34820479999803</v>
      </c>
      <c r="M23" s="25">
        <f>F23 * G23 * 44.795952</f>
        <v>860.08227839999995</v>
      </c>
      <c r="N23" s="26">
        <f>SUM(H23:M23)</f>
        <v>10230.833529599997</v>
      </c>
    </row>
    <row r="24" spans="2:14" s="27" customFormat="1" ht="20.100000000000001" customHeight="1">
      <c r="B24" s="36" t="s">
        <v>64</v>
      </c>
      <c r="C24" s="36"/>
      <c r="D24" s="36"/>
      <c r="E24" s="36"/>
      <c r="F24" s="36"/>
      <c r="G24" s="36"/>
      <c r="H24" s="28">
        <f t="shared" ref="H24:N24" si="0">SUM(H4:H23)</f>
        <v>34523.913340799998</v>
      </c>
      <c r="I24" s="28">
        <f t="shared" si="0"/>
        <v>5490.8821830199995</v>
      </c>
      <c r="J24" s="28">
        <f t="shared" si="0"/>
        <v>1315.2641039999999</v>
      </c>
      <c r="K24" s="28">
        <f t="shared" si="0"/>
        <v>32866.76550390997</v>
      </c>
      <c r="L24" s="28">
        <f t="shared" si="0"/>
        <v>8556.219632119999</v>
      </c>
      <c r="M24" s="28">
        <f t="shared" si="0"/>
        <v>6904.7826604800002</v>
      </c>
      <c r="N24" s="29">
        <f t="shared" si="0"/>
        <v>89657.827424329967</v>
      </c>
    </row>
  </sheetData>
  <mergeCells count="17">
    <mergeCell ref="D22:N22"/>
    <mergeCell ref="B24:G24"/>
    <mergeCell ref="D14:N14"/>
    <mergeCell ref="D15:N15"/>
    <mergeCell ref="D17:N17"/>
    <mergeCell ref="D18:N18"/>
    <mergeCell ref="D19:N19"/>
    <mergeCell ref="D7:N7"/>
    <mergeCell ref="D8:N8"/>
    <mergeCell ref="D9:N9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fitToHeight="0" orientation="landscape" horizontalDpi="4294967295" verticalDpi="4294967295"/>
  <headerFooter>
    <oddHeader>&amp;C&amp;KCCCCCC&amp;"Arial"Дм. Ульянова 10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Дм. Ульянова 10</dc:title>
  <dc:creator/>
  <cp:lastModifiedBy/>
  <cp:lastPrinted>2022-03-21T14:04:45Z</cp:lastPrinted>
  <dcterms:created xsi:type="dcterms:W3CDTF">2022-03-21T14:04:45Z</dcterms:created>
  <dcterms:modified xsi:type="dcterms:W3CDTF">2022-03-21T14:05:05Z</dcterms:modified>
</cp:coreProperties>
</file>