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840" yWindow="1095" windowWidth="19335" windowHeight="6795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47" i="1"/>
  <c r="L47"/>
  <c r="K47"/>
  <c r="J47"/>
  <c r="I47"/>
  <c r="H47"/>
  <c r="N47" s="1"/>
  <c r="M45"/>
  <c r="L45"/>
  <c r="K45"/>
  <c r="J45"/>
  <c r="I45"/>
  <c r="H45"/>
  <c r="N45" s="1"/>
  <c r="M43"/>
  <c r="L43"/>
  <c r="K43"/>
  <c r="J43"/>
  <c r="I43"/>
  <c r="H43"/>
  <c r="N43" s="1"/>
  <c r="M42"/>
  <c r="L42"/>
  <c r="K42"/>
  <c r="J42"/>
  <c r="N42" s="1"/>
  <c r="I42"/>
  <c r="H42"/>
  <c r="M38"/>
  <c r="L38"/>
  <c r="K38"/>
  <c r="J38"/>
  <c r="I38"/>
  <c r="H38"/>
  <c r="N38" s="1"/>
  <c r="M36"/>
  <c r="L36"/>
  <c r="K36"/>
  <c r="J36"/>
  <c r="I36"/>
  <c r="H36"/>
  <c r="N36" s="1"/>
  <c r="M35"/>
  <c r="L35"/>
  <c r="K35"/>
  <c r="J35"/>
  <c r="I35"/>
  <c r="N35" s="1"/>
  <c r="H35"/>
  <c r="M32"/>
  <c r="L32"/>
  <c r="K32"/>
  <c r="J32"/>
  <c r="N32" s="1"/>
  <c r="I32"/>
  <c r="H32"/>
  <c r="M31"/>
  <c r="L31"/>
  <c r="K31"/>
  <c r="J31"/>
  <c r="I31"/>
  <c r="H31"/>
  <c r="N31" s="1"/>
  <c r="M28"/>
  <c r="L28"/>
  <c r="K28"/>
  <c r="J28"/>
  <c r="I28"/>
  <c r="H28"/>
  <c r="N28" s="1"/>
  <c r="M26"/>
  <c r="L26"/>
  <c r="K26"/>
  <c r="J26"/>
  <c r="I26"/>
  <c r="N26" s="1"/>
  <c r="H26"/>
  <c r="M24"/>
  <c r="L24"/>
  <c r="K24"/>
  <c r="J24"/>
  <c r="N24" s="1"/>
  <c r="I24"/>
  <c r="H24"/>
  <c r="M20"/>
  <c r="L20"/>
  <c r="K20"/>
  <c r="J20"/>
  <c r="I20"/>
  <c r="H20"/>
  <c r="N20" s="1"/>
  <c r="M19"/>
  <c r="L19"/>
  <c r="K19"/>
  <c r="J19"/>
  <c r="I19"/>
  <c r="H19"/>
  <c r="N19" s="1"/>
  <c r="M17"/>
  <c r="L17"/>
  <c r="K17"/>
  <c r="J17"/>
  <c r="I17"/>
  <c r="N17" s="1"/>
  <c r="H17"/>
  <c r="M14"/>
  <c r="L14"/>
  <c r="K14"/>
  <c r="J14"/>
  <c r="N14" s="1"/>
  <c r="I14"/>
  <c r="H14"/>
  <c r="M12"/>
  <c r="L12"/>
  <c r="K12"/>
  <c r="J12"/>
  <c r="I12"/>
  <c r="H12"/>
  <c r="N12" s="1"/>
  <c r="M11"/>
  <c r="L11"/>
  <c r="K11"/>
  <c r="J11"/>
  <c r="I11"/>
  <c r="H11"/>
  <c r="N11" s="1"/>
  <c r="M10"/>
  <c r="L10"/>
  <c r="K10"/>
  <c r="J10"/>
  <c r="N10" s="1"/>
  <c r="I10"/>
  <c r="H10"/>
  <c r="M6"/>
  <c r="M48" s="1"/>
  <c r="L6"/>
  <c r="L48" s="1"/>
  <c r="K6"/>
  <c r="K48" s="1"/>
  <c r="J6"/>
  <c r="J48" s="1"/>
  <c r="I6"/>
  <c r="I48" s="1"/>
  <c r="H6"/>
  <c r="H48" s="1"/>
  <c r="N6" l="1"/>
  <c r="N48" s="1"/>
</calcChain>
</file>

<file path=xl/sharedStrings.xml><?xml version="1.0" encoding="utf-8"?>
<sst xmlns="http://schemas.openxmlformats.org/spreadsheetml/2006/main" count="128" uniqueCount="121">
  <si>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</si>
  <si>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</si>
  <si>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</si>
  <si>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</si>
  <si>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</si>
  <si>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</si>
  <si>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</si>
  <si>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</si>
  <si>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</si>
  <si>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</si>
  <si>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</si>
  <si>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</si>
  <si>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</si>
  <si>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</si>
  <si>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Д.Ульянова 14</t>
  </si>
  <si>
    <t>Дата изменения:</t>
  </si>
  <si>
    <t>22.03.2022</t>
  </si>
  <si>
    <t>Общая площадь, кв.м:</t>
  </si>
  <si>
    <t>1.1</t>
  </si>
  <si>
    <t>Фундаменты</t>
  </si>
  <si>
    <t>1.1.7</t>
  </si>
  <si>
    <t>Восстановление (ремонт)  освещения и  вентиляции  подвала</t>
  </si>
  <si>
    <t>1.1.7.3</t>
  </si>
  <si>
    <t>Замена ламп накаливания</t>
  </si>
  <si>
    <t>100 шт.</t>
  </si>
  <si>
    <t>2.1</t>
  </si>
  <si>
    <t>Система теплоснабжения</t>
  </si>
  <si>
    <t>2.1.2</t>
  </si>
  <si>
    <t>Ремонт,  модернизация внутридомовых отопительных сетей</t>
  </si>
  <si>
    <t>2.1.2.1</t>
  </si>
  <si>
    <t>Смена отдельных участков трубопроводов из стальных водогазопроводных неоцинкованных труб на резьбе</t>
  </si>
  <si>
    <t>2.1.2.1.2</t>
  </si>
  <si>
    <t>Смена отдельных участков трубопроводов из стальных водогазопроводных неоцинкованных труб диаметром 20 мм</t>
  </si>
  <si>
    <t>100 м трубопровода</t>
  </si>
  <si>
    <t>2.1.2.1.4</t>
  </si>
  <si>
    <t>Смена отдельных участков трубопроводов из стальных водогазопроводных неоцинкованных труб диаметром 32 мм</t>
  </si>
  <si>
    <t>2.1.2.1.5</t>
  </si>
  <si>
    <t>Смена отдельных участков трубопроводов из стальных водогазопроводных неоцинкованных труб диаметром 40 мм</t>
  </si>
  <si>
    <t>2.1.2.2</t>
  </si>
  <si>
    <t>Смена отдельных участков трубопроводов из стальных электросварных труб</t>
  </si>
  <si>
    <t>2.1.2.2.2</t>
  </si>
  <si>
    <t>Смена отдельных участков трубопроводов из стальных электросварных труб   диаметром 50 мм</t>
  </si>
  <si>
    <t>2.1.8</t>
  </si>
  <si>
    <t>Ремонт  насосов,  магистральной запорной арматуры,  автоматических устройств</t>
  </si>
  <si>
    <t>2.1.8.8</t>
  </si>
  <si>
    <t>Смена вентиля</t>
  </si>
  <si>
    <t>2.1.8.8.1</t>
  </si>
  <si>
    <t>Смена вентиля диаметром до 25 мм</t>
  </si>
  <si>
    <t>100 вентилей</t>
  </si>
  <si>
    <t>2.1.8.9</t>
  </si>
  <si>
    <t>Установка кранов для спуска воздуха из системы</t>
  </si>
  <si>
    <t>2.1.8.9.1</t>
  </si>
  <si>
    <t>Установка кранов для спуска воздуха из системы, диаметр крана 15-20 мм</t>
  </si>
  <si>
    <t>100 кранов</t>
  </si>
  <si>
    <t>2.1.8.9.2</t>
  </si>
  <si>
    <t>Установка кранов для спуска воздуха из системы, диаметр крана 21-25 мм</t>
  </si>
  <si>
    <t>2.2</t>
  </si>
  <si>
    <t>Системы холодного и горячего водоснабжения</t>
  </si>
  <si>
    <t>2.2.1</t>
  </si>
  <si>
    <t>Ремонт,  замена  внутридомовых сетей водоснабжения</t>
  </si>
  <si>
    <t>2.2.1.1</t>
  </si>
  <si>
    <t>Смена отдельных участков трубопроводов  горячего водоснабжения из стальных водогазопроводных оцинкованных труб при соединении труб на резьбе</t>
  </si>
  <si>
    <t>2.2.1.1.4</t>
  </si>
  <si>
    <t>Смена отдельных участков трубопроводов водоснабжения из стальных водогазопроводных оцинкованных труб диаметром 32 мм</t>
  </si>
  <si>
    <t>100 м трубопроводов</t>
  </si>
  <si>
    <t>2.2.1.7</t>
  </si>
  <si>
    <t>Смена сгонов у трубопроводов</t>
  </si>
  <si>
    <t>2.2.1.7.2</t>
  </si>
  <si>
    <t>Смена сгонов у трубопроводов диаметром до 32 мм</t>
  </si>
  <si>
    <t>100 сгонов</t>
  </si>
  <si>
    <t>2.2.1.8</t>
  </si>
  <si>
    <t>Уплотнение сгонов</t>
  </si>
  <si>
    <t>2.2.1.8.2</t>
  </si>
  <si>
    <t>Уплотнение сгонов с применением льняной пряди или асбестового шнура (без разборки сгонов) диаметром до 32 мм</t>
  </si>
  <si>
    <t>1 сгон</t>
  </si>
  <si>
    <t>2.3</t>
  </si>
  <si>
    <t>Система водоотведения</t>
  </si>
  <si>
    <t>2.3.1</t>
  </si>
  <si>
    <t>Смена отдельных участков трубопроводов канализации из полиэтиленовых труб высокой плотности</t>
  </si>
  <si>
    <t>2.3.1.4</t>
  </si>
  <si>
    <t>Смена вертикальных участков трубопроводов канализации из полиэтиленовых труб высокой плотности диаметром 100 мм</t>
  </si>
  <si>
    <t>2.3.4</t>
  </si>
  <si>
    <t>Устранение засоров внутренних канализационных трубопроводов</t>
  </si>
  <si>
    <t>100 м трубы</t>
  </si>
  <si>
    <t>2.5</t>
  </si>
  <si>
    <t>Внутридомовое электро-, радио- и телеоборудование</t>
  </si>
  <si>
    <t>2.5.1</t>
  </si>
  <si>
    <t>Ремонт,  замена  шкафов  вводных и  вводно-распределительных устройств</t>
  </si>
  <si>
    <t>2.5.1.1</t>
  </si>
  <si>
    <t>Замена пакетных переключателей вводно-распределительных устройств и шкафов</t>
  </si>
  <si>
    <t>1 переключатель</t>
  </si>
  <si>
    <t>2.5.4</t>
  </si>
  <si>
    <t>Ремонт, замена  внутридомовых электрических сетей</t>
  </si>
  <si>
    <t>1000 пог.м.</t>
  </si>
  <si>
    <t>2.5.7</t>
  </si>
  <si>
    <t>Ремонт,  замена  осветительных установок  помещений   общего  пользования</t>
  </si>
  <si>
    <t>2.5.7.2</t>
  </si>
  <si>
    <t>Замена светильника с лампами накаливания или энергосберегающими лампами</t>
  </si>
  <si>
    <t>1 светильник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</si>
  <si>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</si>
  <si>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</si>
  <si>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</si>
  <si>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</si>
  <si>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2.6.14.1</t>
  </si>
  <si>
    <t>Осмотр системы центрального отопления</t>
  </si>
  <si>
    <t>2.6.14.1.1</t>
  </si>
  <si>
    <t>Осмотр внутриквартирных устройств системы центрального отопления</t>
  </si>
  <si>
    <t>1000 кв.м. общей площади</t>
  </si>
  <si>
    <t>2.6.14.1.2</t>
  </si>
  <si>
    <t>Осмотр устройства системы центрального отопления в чердачных и подвальных помещениях</t>
  </si>
  <si>
    <t>1000 м2 осматриваемых помещений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</si>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</sst>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</font>
    <font>
      <sz val="10"/>
      <name val="Calibri"/>
    </font>
    <font>
      <sz val="12"/>
      <name val="Calibri"/>
    </font>
    <font>
      <b/>
      <sz val="9"/>
      <color rgb="FFFFFFFF"/>
      <name val="Calibri"/>
    </font>
    <font>
      <b/>
      <sz val="18"/>
      <color rgb="FF000099"/>
      <name val="Calibri"/>
    </font>
    <font>
      <i/>
      <sz val="11"/>
      <name val="Calibri"/>
    </font>
    <font>
      <b/>
      <sz val="11"/>
      <name val="Calibri"/>
    </font>
    <font>
      <b/>
      <sz val="10"/>
      <color rgb="FF707070"/>
      <name val="Calibri"/>
    </font>
    <font>
      <b/>
      <sz val="11"/>
      <color rgb="FFFFFFFF"/>
      <name val="Calibri"/>
    </font>
    <font>
      <b/>
      <sz val="10"/>
      <color rgb="FFFFFFFF"/>
      <name val="Calibri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8"/>
  <sheetViews>
    <sheetView tabSelected="1" workbookViewId="0">
      <pane ySplit="1" topLeftCell="A2" activePane="bottomLeft" state="frozen"/>
      <selection pane="bottomLeft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B6" s="20">
        <v>1</v>
      </c>
      <c r="C6" s="21" t="s">
        <v>22</v>
      </c>
      <c r="D6" s="22" t="s">
        <v>23</v>
      </c>
      <c r="E6" s="22" t="s">
        <v>24</v>
      </c>
      <c r="F6" s="23">
        <v>0.4</v>
      </c>
      <c r="G6" s="24">
        <v>1</v>
      </c>
      <c r="H6" s="25">
        <f>F6 * G6 * 1717.8024</f>
        <v>687.12096000000008</v>
      </c>
      <c r="I6" s="25">
        <f>F6 * G6 * 2684.13</f>
        <v>1073.652</v>
      </c>
      <c r="J6" s="25">
        <f>F6 * G6 * 0</f>
        <v>0</v>
      </c>
      <c r="K6" s="25">
        <f>F6 * G6 * 1635.347885</f>
        <v>654.13915399999996</v>
      </c>
      <c r="L6" s="25">
        <f>F6 * G6 * 673.178701</f>
        <v>269.27148040000003</v>
      </c>
      <c r="M6" s="25">
        <f>F6 * G6 * 343.56048</f>
        <v>137.42419200000001</v>
      </c>
      <c r="N6" s="26">
        <f>SUM(H6:M6)</f>
        <v>2821.6077864000004</v>
      </c>
    </row>
    <row r="7" spans="1:14" s="14" customFormat="1" ht="15">
      <c r="B7" s="15"/>
      <c r="C7" s="16" t="s">
        <v>25</v>
      </c>
      <c r="D7" s="33" t="s">
        <v>26</v>
      </c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17" customFormat="1" ht="12.75">
      <c r="B8" s="18"/>
      <c r="C8" s="19" t="s">
        <v>27</v>
      </c>
      <c r="D8" s="34" t="s">
        <v>28</v>
      </c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s="17" customFormat="1" ht="12.75">
      <c r="B9" s="18"/>
      <c r="C9" s="19" t="s">
        <v>29</v>
      </c>
      <c r="D9" s="35" t="s">
        <v>30</v>
      </c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 ht="38.25">
      <c r="B10" s="20">
        <v>2</v>
      </c>
      <c r="C10" s="21" t="s">
        <v>31</v>
      </c>
      <c r="D10" s="22" t="s">
        <v>32</v>
      </c>
      <c r="E10" s="22" t="s">
        <v>33</v>
      </c>
      <c r="F10" s="23">
        <v>0.1</v>
      </c>
      <c r="G10" s="24">
        <v>1</v>
      </c>
      <c r="H10" s="25">
        <f>F10 * G10 * 22070.1378</f>
        <v>2207.0137800000002</v>
      </c>
      <c r="I10" s="25">
        <f>F10 * G10 * 10897.981095</f>
        <v>1089.7981095</v>
      </c>
      <c r="J10" s="25">
        <f>F10 * G10 * 0</f>
        <v>0</v>
      </c>
      <c r="K10" s="25">
        <f>F10 * G10 * 21010.7711859999</f>
        <v>2101.0771185999902</v>
      </c>
      <c r="L10" s="25">
        <f>F10 * G10 * 6160.452811</f>
        <v>616.04528110000001</v>
      </c>
      <c r="M10" s="25">
        <f>F10 * G10 * 4414.02756</f>
        <v>441.40275600000007</v>
      </c>
      <c r="N10" s="26">
        <f>SUM(H10:M10)</f>
        <v>6455.3370451999899</v>
      </c>
    </row>
    <row r="11" spans="1:14" ht="38.25">
      <c r="B11" s="20">
        <v>3</v>
      </c>
      <c r="C11" s="21" t="s">
        <v>34</v>
      </c>
      <c r="D11" s="22" t="s">
        <v>35</v>
      </c>
      <c r="E11" s="22" t="s">
        <v>33</v>
      </c>
      <c r="F11" s="23">
        <v>0.05</v>
      </c>
      <c r="G11" s="24">
        <v>1</v>
      </c>
      <c r="H11" s="25">
        <f>F11 * G11 * 22490.286</f>
        <v>1124.5143</v>
      </c>
      <c r="I11" s="25">
        <f>F11 * G11 * 25106.015612</f>
        <v>1255.3007806000001</v>
      </c>
      <c r="J11" s="25">
        <f>F11 * G11 * 0</f>
        <v>0</v>
      </c>
      <c r="K11" s="25">
        <f>F11 * G11 * 21410.752272</f>
        <v>1070.5376136000002</v>
      </c>
      <c r="L11" s="25">
        <f>F11 * G11 * 7754.789219</f>
        <v>387.73946095000002</v>
      </c>
      <c r="M11" s="25">
        <f>F11 * G11 * 4498.0572</f>
        <v>224.90286000000003</v>
      </c>
      <c r="N11" s="26">
        <f>SUM(H11:M11)</f>
        <v>4062.9950151500011</v>
      </c>
    </row>
    <row r="12" spans="1:14" ht="38.25">
      <c r="B12" s="20">
        <v>4</v>
      </c>
      <c r="C12" s="21" t="s">
        <v>36</v>
      </c>
      <c r="D12" s="22" t="s">
        <v>37</v>
      </c>
      <c r="E12" s="22" t="s">
        <v>33</v>
      </c>
      <c r="F12" s="23">
        <v>7.0000000000000007E-2</v>
      </c>
      <c r="G12" s="24">
        <v>1</v>
      </c>
      <c r="H12" s="25">
        <f>F12 * G12 * 27433.206</f>
        <v>1920.3244200000001</v>
      </c>
      <c r="I12" s="25">
        <f>F12 * G12 * 28276.415867</f>
        <v>1979.3491106900001</v>
      </c>
      <c r="J12" s="25">
        <f>F12 * G12 * 0</f>
        <v>0</v>
      </c>
      <c r="K12" s="25">
        <f>F12 * G12 * 26116.412112</f>
        <v>1828.1488478400004</v>
      </c>
      <c r="L12" s="25">
        <f>F12 * G12 * 9211.487231</f>
        <v>644.80410616999995</v>
      </c>
      <c r="M12" s="25">
        <f>F12 * G12 * 5486.6412</f>
        <v>384.06488400000006</v>
      </c>
      <c r="N12" s="26">
        <f>SUM(H12:M12)</f>
        <v>6756.6913687000006</v>
      </c>
    </row>
    <row r="13" spans="1:14" s="17" customFormat="1" ht="12.75">
      <c r="B13" s="18"/>
      <c r="C13" s="19" t="s">
        <v>38</v>
      </c>
      <c r="D13" s="35" t="s">
        <v>39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</row>
    <row r="14" spans="1:14" ht="25.5">
      <c r="B14" s="20">
        <v>5</v>
      </c>
      <c r="C14" s="21" t="s">
        <v>40</v>
      </c>
      <c r="D14" s="22" t="s">
        <v>41</v>
      </c>
      <c r="E14" s="22" t="s">
        <v>33</v>
      </c>
      <c r="F14" s="23">
        <v>0.05</v>
      </c>
      <c r="G14" s="24">
        <v>1</v>
      </c>
      <c r="H14" s="25">
        <f>F14 * G14 * 17300.22</f>
        <v>865.01100000000008</v>
      </c>
      <c r="I14" s="25">
        <f>F14 * G14 * 43106.0525009999</f>
        <v>2155.3026250500002</v>
      </c>
      <c r="J14" s="25">
        <f>F14 * G14 * 0</f>
        <v>0</v>
      </c>
      <c r="K14" s="25">
        <f>F14 * G14 * 16469.80944</f>
        <v>823.49047200000007</v>
      </c>
      <c r="L14" s="25">
        <f>F14 * G14 * 8475.461287</f>
        <v>423.77306435000003</v>
      </c>
      <c r="M14" s="25">
        <f>F14 * G14 * 3460.044</f>
        <v>173.00220000000002</v>
      </c>
      <c r="N14" s="26">
        <f>SUM(H14:M14)</f>
        <v>4440.5793614000004</v>
      </c>
    </row>
    <row r="15" spans="1:14" s="17" customFormat="1" ht="12.75">
      <c r="B15" s="18"/>
      <c r="C15" s="19" t="s">
        <v>42</v>
      </c>
      <c r="D15" s="34" t="s">
        <v>43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</row>
    <row r="16" spans="1:14" s="17" customFormat="1" ht="12.75">
      <c r="B16" s="18"/>
      <c r="C16" s="19" t="s">
        <v>44</v>
      </c>
      <c r="D16" s="35" t="s">
        <v>45</v>
      </c>
      <c r="E16" s="35"/>
      <c r="F16" s="35"/>
      <c r="G16" s="35"/>
      <c r="H16" s="35"/>
      <c r="I16" s="35"/>
      <c r="J16" s="35"/>
      <c r="K16" s="35"/>
      <c r="L16" s="35"/>
      <c r="M16" s="35"/>
      <c r="N16" s="35"/>
    </row>
    <row r="17" spans="2:14">
      <c r="B17" s="20">
        <v>6</v>
      </c>
      <c r="C17" s="21" t="s">
        <v>46</v>
      </c>
      <c r="D17" s="22" t="s">
        <v>47</v>
      </c>
      <c r="E17" s="22" t="s">
        <v>48</v>
      </c>
      <c r="F17" s="23">
        <v>0.13</v>
      </c>
      <c r="G17" s="24">
        <v>1</v>
      </c>
      <c r="H17" s="25">
        <f>F17 * G17 * 14193.504</f>
        <v>1845.1555200000003</v>
      </c>
      <c r="I17" s="25">
        <f>F17 * G17 * 11401.039579</f>
        <v>1482.1351452700001</v>
      </c>
      <c r="J17" s="25">
        <f>F17 * G17 * 0</f>
        <v>0</v>
      </c>
      <c r="K17" s="25">
        <f>F17 * G17 * 13512.2158079999</f>
        <v>1756.5880550399872</v>
      </c>
      <c r="L17" s="25">
        <f>F17 * G17 * 4425.24605</f>
        <v>575.28198650000002</v>
      </c>
      <c r="M17" s="25">
        <f>F17 * G17 * 2838.7008</f>
        <v>369.03110400000003</v>
      </c>
      <c r="N17" s="26">
        <f>SUM(H17:M17)</f>
        <v>6028.1918108099871</v>
      </c>
    </row>
    <row r="18" spans="2:14" s="17" customFormat="1" ht="12.75">
      <c r="B18" s="18"/>
      <c r="C18" s="19" t="s">
        <v>49</v>
      </c>
      <c r="D18" s="35" t="s">
        <v>50</v>
      </c>
      <c r="E18" s="35"/>
      <c r="F18" s="35"/>
      <c r="G18" s="35"/>
      <c r="H18" s="35"/>
      <c r="I18" s="35"/>
      <c r="J18" s="35"/>
      <c r="K18" s="35"/>
      <c r="L18" s="35"/>
      <c r="M18" s="35"/>
      <c r="N18" s="35"/>
    </row>
    <row r="19" spans="2:14" ht="25.5">
      <c r="B19" s="20">
        <v>7</v>
      </c>
      <c r="C19" s="21" t="s">
        <v>51</v>
      </c>
      <c r="D19" s="22" t="s">
        <v>52</v>
      </c>
      <c r="E19" s="22" t="s">
        <v>53</v>
      </c>
      <c r="F19" s="23">
        <v>0.37</v>
      </c>
      <c r="G19" s="24">
        <v>1</v>
      </c>
      <c r="H19" s="25">
        <f>F19 * G19 * 28319.28</f>
        <v>10478.133599999999</v>
      </c>
      <c r="I19" s="25">
        <f>F19 * G19 * 33943.594037</f>
        <v>12559.129793690001</v>
      </c>
      <c r="J19" s="25">
        <f>F19 * G19 * 0</f>
        <v>0</v>
      </c>
      <c r="K19" s="25">
        <f>F19 * G19 * 26959.95456</f>
        <v>9975.1831871999984</v>
      </c>
      <c r="L19" s="25">
        <f>F19 * G19 * 10010.545225</f>
        <v>3703.9017332499998</v>
      </c>
      <c r="M19" s="25">
        <f>F19 * G19 * 5663.856</f>
        <v>2095.6267199999998</v>
      </c>
      <c r="N19" s="26">
        <f>SUM(H19:M19)</f>
        <v>38811.975034139999</v>
      </c>
    </row>
    <row r="20" spans="2:14" ht="25.5">
      <c r="B20" s="20">
        <v>8</v>
      </c>
      <c r="C20" s="21" t="s">
        <v>54</v>
      </c>
      <c r="D20" s="22" t="s">
        <v>55</v>
      </c>
      <c r="E20" s="22" t="s">
        <v>53</v>
      </c>
      <c r="F20" s="23">
        <v>0.02</v>
      </c>
      <c r="G20" s="24">
        <v>1</v>
      </c>
      <c r="H20" s="25">
        <f>F20 * G20 * 32953.344</f>
        <v>659.06687999999997</v>
      </c>
      <c r="I20" s="25">
        <f>F20 * G20 * 35450.134037</f>
        <v>709.00268074000007</v>
      </c>
      <c r="J20" s="25">
        <f>F20 * G20 * 0</f>
        <v>0</v>
      </c>
      <c r="K20" s="25">
        <f>F20 * G20 * 31371.5834879999</f>
        <v>627.43166975999793</v>
      </c>
      <c r="L20" s="25">
        <f>F20 * G20 * 11221.58455</f>
        <v>224.431691</v>
      </c>
      <c r="M20" s="25">
        <f>F20 * G20 * 6590.6688</f>
        <v>131.81337600000001</v>
      </c>
      <c r="N20" s="26">
        <f>SUM(H20:M20)</f>
        <v>2351.746297499998</v>
      </c>
    </row>
    <row r="21" spans="2:14" s="14" customFormat="1" ht="15">
      <c r="B21" s="15"/>
      <c r="C21" s="16" t="s">
        <v>56</v>
      </c>
      <c r="D21" s="33" t="s">
        <v>57</v>
      </c>
      <c r="E21" s="33"/>
      <c r="F21" s="33"/>
      <c r="G21" s="33"/>
      <c r="H21" s="33"/>
      <c r="I21" s="33"/>
      <c r="J21" s="33"/>
      <c r="K21" s="33"/>
      <c r="L21" s="33"/>
      <c r="M21" s="33"/>
      <c r="N21" s="33"/>
    </row>
    <row r="22" spans="2:14" s="17" customFormat="1" ht="12.75">
      <c r="B22" s="18"/>
      <c r="C22" s="19" t="s">
        <v>58</v>
      </c>
      <c r="D22" s="34" t="s">
        <v>59</v>
      </c>
      <c r="E22" s="34"/>
      <c r="F22" s="34"/>
      <c r="G22" s="34"/>
      <c r="H22" s="34"/>
      <c r="I22" s="34"/>
      <c r="J22" s="34"/>
      <c r="K22" s="34"/>
      <c r="L22" s="34"/>
      <c r="M22" s="34"/>
      <c r="N22" s="34"/>
    </row>
    <row r="23" spans="2:14" s="17" customFormat="1" ht="12.75">
      <c r="B23" s="18"/>
      <c r="C23" s="19" t="s">
        <v>60</v>
      </c>
      <c r="D23" s="35" t="s">
        <v>61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</row>
    <row r="24" spans="2:14" ht="38.25">
      <c r="B24" s="20">
        <v>9</v>
      </c>
      <c r="C24" s="21" t="s">
        <v>62</v>
      </c>
      <c r="D24" s="22" t="s">
        <v>63</v>
      </c>
      <c r="E24" s="22" t="s">
        <v>64</v>
      </c>
      <c r="F24" s="23">
        <v>5.8999999999999997E-2</v>
      </c>
      <c r="G24" s="24">
        <v>1</v>
      </c>
      <c r="H24" s="25">
        <f>F24 * G24 * 28545.363</f>
        <v>1684.1764169999999</v>
      </c>
      <c r="I24" s="25">
        <f>F24 * G24 * 32786.421852</f>
        <v>1934.3988892679999</v>
      </c>
      <c r="J24" s="25">
        <f>F24 * G24 * 0</f>
        <v>0</v>
      </c>
      <c r="K24" s="25">
        <f>F24 * G24 * 27175.1855759999</f>
        <v>1603.3359489839941</v>
      </c>
      <c r="L24" s="25">
        <f>F24 * G24 * 9939.792539</f>
        <v>586.44775980099996</v>
      </c>
      <c r="M24" s="25">
        <f>F24 * G24 * 5709.0726</f>
        <v>336.83528339999998</v>
      </c>
      <c r="N24" s="26">
        <f>SUM(H24:M24)</f>
        <v>6145.1942984529933</v>
      </c>
    </row>
    <row r="25" spans="2:14" s="17" customFormat="1" ht="12.75">
      <c r="B25" s="18"/>
      <c r="C25" s="19" t="s">
        <v>65</v>
      </c>
      <c r="D25" s="35" t="s">
        <v>66</v>
      </c>
      <c r="E25" s="35"/>
      <c r="F25" s="35"/>
      <c r="G25" s="35"/>
      <c r="H25" s="35"/>
      <c r="I25" s="35"/>
      <c r="J25" s="35"/>
      <c r="K25" s="35"/>
      <c r="L25" s="35"/>
      <c r="M25" s="35"/>
      <c r="N25" s="35"/>
    </row>
    <row r="26" spans="2:14">
      <c r="B26" s="20">
        <v>10</v>
      </c>
      <c r="C26" s="21" t="s">
        <v>67</v>
      </c>
      <c r="D26" s="22" t="s">
        <v>68</v>
      </c>
      <c r="E26" s="22" t="s">
        <v>69</v>
      </c>
      <c r="F26" s="23">
        <v>0.11</v>
      </c>
      <c r="G26" s="24">
        <v>1</v>
      </c>
      <c r="H26" s="25">
        <f>F26 * G26 * 11354.8032</f>
        <v>1249.028352</v>
      </c>
      <c r="I26" s="25">
        <f>F26 * G26 * 10639.970407</f>
        <v>1170.3967447700002</v>
      </c>
      <c r="J26" s="25">
        <f>F26 * G26 * 0</f>
        <v>0</v>
      </c>
      <c r="K26" s="25">
        <f>F26 * G26 * 10809.772646</f>
        <v>1189.07499106</v>
      </c>
      <c r="L26" s="25">
        <f>F26 * G26 * 3700.465977</f>
        <v>407.05125747</v>
      </c>
      <c r="M26" s="25">
        <f>F26 * G26 * 2270.96064</f>
        <v>249.80567039999997</v>
      </c>
      <c r="N26" s="26">
        <f>SUM(H26:M26)</f>
        <v>4265.3570156999995</v>
      </c>
    </row>
    <row r="27" spans="2:14" s="17" customFormat="1" ht="12.75">
      <c r="B27" s="18"/>
      <c r="C27" s="19" t="s">
        <v>70</v>
      </c>
      <c r="D27" s="35" t="s">
        <v>71</v>
      </c>
      <c r="E27" s="35"/>
      <c r="F27" s="35"/>
      <c r="G27" s="35"/>
      <c r="H27" s="35"/>
      <c r="I27" s="35"/>
      <c r="J27" s="35"/>
      <c r="K27" s="35"/>
      <c r="L27" s="35"/>
      <c r="M27" s="35"/>
      <c r="N27" s="35"/>
    </row>
    <row r="28" spans="2:14" ht="38.25">
      <c r="B28" s="20">
        <v>11</v>
      </c>
      <c r="C28" s="21" t="s">
        <v>72</v>
      </c>
      <c r="D28" s="22" t="s">
        <v>73</v>
      </c>
      <c r="E28" s="22" t="s">
        <v>74</v>
      </c>
      <c r="F28" s="23">
        <v>4</v>
      </c>
      <c r="G28" s="24">
        <v>1</v>
      </c>
      <c r="H28" s="25">
        <f>F28 * G28 * 31.45272</f>
        <v>125.81088</v>
      </c>
      <c r="I28" s="25">
        <f>F28 * G28 * 6.521409</f>
        <v>26.085636000000001</v>
      </c>
      <c r="J28" s="25">
        <f>F28 * G28 * 0</f>
        <v>0</v>
      </c>
      <c r="K28" s="25">
        <f>F28 * G28 * 29.942989</f>
        <v>119.771956</v>
      </c>
      <c r="L28" s="25">
        <f>F28 * G28 * 7.828908</f>
        <v>31.315632000000001</v>
      </c>
      <c r="M28" s="25">
        <f>F28 * G28 * 6.290544</f>
        <v>25.162175999999999</v>
      </c>
      <c r="N28" s="26">
        <f>SUM(H28:M28)</f>
        <v>328.14627999999999</v>
      </c>
    </row>
    <row r="29" spans="2:14" s="14" customFormat="1" ht="15">
      <c r="B29" s="15"/>
      <c r="C29" s="16" t="s">
        <v>75</v>
      </c>
      <c r="D29" s="33" t="s">
        <v>76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</row>
    <row r="30" spans="2:14" s="17" customFormat="1" ht="12.75">
      <c r="B30" s="18"/>
      <c r="C30" s="19" t="s">
        <v>77</v>
      </c>
      <c r="D30" s="34" t="s">
        <v>78</v>
      </c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1" spans="2:14" ht="38.25">
      <c r="B31" s="20">
        <v>12</v>
      </c>
      <c r="C31" s="21" t="s">
        <v>79</v>
      </c>
      <c r="D31" s="22" t="s">
        <v>80</v>
      </c>
      <c r="E31" s="22" t="s">
        <v>64</v>
      </c>
      <c r="F31" s="23">
        <v>0.05</v>
      </c>
      <c r="G31" s="24">
        <v>1</v>
      </c>
      <c r="H31" s="25">
        <f>F31 * G31 * 17224.0464</f>
        <v>861.20231999999999</v>
      </c>
      <c r="I31" s="25">
        <f>F31 * G31 * 24953.902404</f>
        <v>1247.6951202</v>
      </c>
      <c r="J31" s="25">
        <f>F31 * G31 * 0</f>
        <v>0</v>
      </c>
      <c r="K31" s="25">
        <f>F31 * G31 * 16397.292173</f>
        <v>819.86460865000015</v>
      </c>
      <c r="L31" s="25">
        <f>F31 * G31 * 6543.115302</f>
        <v>327.15576510000005</v>
      </c>
      <c r="M31" s="25">
        <f>F31 * G31 * 3444.80928</f>
        <v>172.240464</v>
      </c>
      <c r="N31" s="26">
        <f>SUM(H31:M31)</f>
        <v>3428.15827795</v>
      </c>
    </row>
    <row r="32" spans="2:14" ht="25.5">
      <c r="B32" s="20">
        <v>13</v>
      </c>
      <c r="C32" s="21" t="s">
        <v>81</v>
      </c>
      <c r="D32" s="22" t="s">
        <v>82</v>
      </c>
      <c r="E32" s="22" t="s">
        <v>83</v>
      </c>
      <c r="F32" s="23">
        <v>0.9</v>
      </c>
      <c r="G32" s="24">
        <v>1</v>
      </c>
      <c r="H32" s="25">
        <f>F32 * G32 * 2443.6344</f>
        <v>2199.2709599999998</v>
      </c>
      <c r="I32" s="25">
        <f>F32 * G32 * 600.324723</f>
        <v>540.29225069999995</v>
      </c>
      <c r="J32" s="25">
        <f>F32 * G32 * 0</f>
        <v>0</v>
      </c>
      <c r="K32" s="25">
        <f>F32 * G32 * 2326.339949</f>
        <v>2093.7059541000003</v>
      </c>
      <c r="L32" s="25">
        <f>F32 * G32 * 618.127237999999</f>
        <v>556.31451419999917</v>
      </c>
      <c r="M32" s="25">
        <f>F32 * G32 * 488.72688</f>
        <v>439.85419200000001</v>
      </c>
      <c r="N32" s="26">
        <f>SUM(H32:M32)</f>
        <v>5829.4378709999992</v>
      </c>
    </row>
    <row r="33" spans="2:14" s="14" customFormat="1" ht="15">
      <c r="B33" s="15"/>
      <c r="C33" s="16" t="s">
        <v>84</v>
      </c>
      <c r="D33" s="33" t="s">
        <v>85</v>
      </c>
      <c r="E33" s="33"/>
      <c r="F33" s="33"/>
      <c r="G33" s="33"/>
      <c r="H33" s="33"/>
      <c r="I33" s="33"/>
      <c r="J33" s="33"/>
      <c r="K33" s="33"/>
      <c r="L33" s="33"/>
      <c r="M33" s="33"/>
      <c r="N33" s="33"/>
    </row>
    <row r="34" spans="2:14" s="17" customFormat="1" ht="12.75">
      <c r="B34" s="18"/>
      <c r="C34" s="19" t="s">
        <v>86</v>
      </c>
      <c r="D34" s="34" t="s">
        <v>87</v>
      </c>
      <c r="E34" s="34"/>
      <c r="F34" s="34"/>
      <c r="G34" s="34"/>
      <c r="H34" s="34"/>
      <c r="I34" s="34"/>
      <c r="J34" s="34"/>
      <c r="K34" s="34"/>
      <c r="L34" s="34"/>
      <c r="M34" s="34"/>
      <c r="N34" s="34"/>
    </row>
    <row r="35" spans="2:14" ht="25.5">
      <c r="B35" s="20">
        <v>14</v>
      </c>
      <c r="C35" s="21" t="s">
        <v>88</v>
      </c>
      <c r="D35" s="22" t="s">
        <v>89</v>
      </c>
      <c r="E35" s="22" t="s">
        <v>90</v>
      </c>
      <c r="F35" s="23">
        <v>1</v>
      </c>
      <c r="G35" s="24">
        <v>1</v>
      </c>
      <c r="H35" s="25">
        <f>F35 * G35 * 106.45536</f>
        <v>106.45536</v>
      </c>
      <c r="I35" s="25">
        <f>F35 * G35 * 155.9274</f>
        <v>155.92740000000001</v>
      </c>
      <c r="J35" s="25">
        <f>F35 * G35 * 0</f>
        <v>0</v>
      </c>
      <c r="K35" s="25">
        <f>F35 * G35 * 101.345503</f>
        <v>101.34550299999999</v>
      </c>
      <c r="L35" s="25">
        <f>F35 * G35 * 40.61954</f>
        <v>40.619540000000001</v>
      </c>
      <c r="M35" s="25">
        <f>F35 * G35 * 21.291072</f>
        <v>21.291072</v>
      </c>
      <c r="N35" s="26">
        <f>SUM(H35:M35)</f>
        <v>425.63887499999998</v>
      </c>
    </row>
    <row r="36" spans="2:14">
      <c r="B36" s="20">
        <v>15</v>
      </c>
      <c r="C36" s="21" t="s">
        <v>91</v>
      </c>
      <c r="D36" s="22" t="s">
        <v>92</v>
      </c>
      <c r="E36" s="22" t="s">
        <v>93</v>
      </c>
      <c r="F36" s="23">
        <v>1E-3</v>
      </c>
      <c r="G36" s="24">
        <v>1</v>
      </c>
      <c r="H36" s="25">
        <f>F36 * G36 * 48388.8</f>
        <v>48.388800000000003</v>
      </c>
      <c r="I36" s="25">
        <f>F36 * G36 * 59115.7592339999</f>
        <v>59.115759233999995</v>
      </c>
      <c r="J36" s="25">
        <f>F36 * G36 * 0</f>
        <v>0</v>
      </c>
      <c r="K36" s="25">
        <f>F36 * G36 * 46066.1376</f>
        <v>46.066137600000005</v>
      </c>
      <c r="L36" s="25">
        <f>F36 * G36 * 17222.712196</f>
        <v>17.222712196</v>
      </c>
      <c r="M36" s="25">
        <f>F36 * G36 * 9677.76</f>
        <v>9.677760000000001</v>
      </c>
      <c r="N36" s="26">
        <f>SUM(H36:M36)</f>
        <v>180.47116903</v>
      </c>
    </row>
    <row r="37" spans="2:14" s="17" customFormat="1" ht="12.75">
      <c r="B37" s="18"/>
      <c r="C37" s="19" t="s">
        <v>94</v>
      </c>
      <c r="D37" s="34" t="s">
        <v>95</v>
      </c>
      <c r="E37" s="34"/>
      <c r="F37" s="34"/>
      <c r="G37" s="34"/>
      <c r="H37" s="34"/>
      <c r="I37" s="34"/>
      <c r="J37" s="34"/>
      <c r="K37" s="34"/>
      <c r="L37" s="34"/>
      <c r="M37" s="34"/>
      <c r="N37" s="34"/>
    </row>
    <row r="38" spans="2:14" ht="25.5">
      <c r="B38" s="20">
        <v>16</v>
      </c>
      <c r="C38" s="21" t="s">
        <v>96</v>
      </c>
      <c r="D38" s="22" t="s">
        <v>97</v>
      </c>
      <c r="E38" s="22" t="s">
        <v>98</v>
      </c>
      <c r="F38" s="23">
        <v>1</v>
      </c>
      <c r="G38" s="24">
        <v>1</v>
      </c>
      <c r="H38" s="25">
        <f>F38 * G38 * 243.200232</f>
        <v>243.200232</v>
      </c>
      <c r="I38" s="25">
        <f>F38 * G38 * 348.610398</f>
        <v>348.61039799999998</v>
      </c>
      <c r="J38" s="25">
        <f>F38 * G38 * 0</f>
        <v>0</v>
      </c>
      <c r="K38" s="25">
        <f>F38 * G38 * 231.526621</f>
        <v>231.52662100000001</v>
      </c>
      <c r="L38" s="25">
        <f>F38 * G38 * 91.993604</f>
        <v>91.993604000000005</v>
      </c>
      <c r="M38" s="25">
        <f>F38 * G38 * 48.640046</f>
        <v>48.640045999999998</v>
      </c>
      <c r="N38" s="26">
        <f>SUM(H38:M38)</f>
        <v>963.97090099999991</v>
      </c>
    </row>
    <row r="39" spans="2:14" s="14" customFormat="1" ht="15">
      <c r="B39" s="15"/>
      <c r="C39" s="16" t="s">
        <v>99</v>
      </c>
      <c r="D39" s="33" t="s">
        <v>100</v>
      </c>
      <c r="E39" s="33"/>
      <c r="F39" s="33"/>
      <c r="G39" s="33"/>
      <c r="H39" s="33"/>
      <c r="I39" s="33"/>
      <c r="J39" s="33"/>
      <c r="K39" s="33"/>
      <c r="L39" s="33"/>
      <c r="M39" s="33"/>
      <c r="N39" s="33"/>
    </row>
    <row r="40" spans="2:14" s="17" customFormat="1" ht="12.75">
      <c r="B40" s="18"/>
      <c r="C40" s="19" t="s">
        <v>101</v>
      </c>
      <c r="D40" s="34" t="s">
        <v>102</v>
      </c>
      <c r="E40" s="34"/>
      <c r="F40" s="34"/>
      <c r="G40" s="34"/>
      <c r="H40" s="34"/>
      <c r="I40" s="34"/>
      <c r="J40" s="34"/>
      <c r="K40" s="34"/>
      <c r="L40" s="34"/>
      <c r="M40" s="34"/>
      <c r="N40" s="34"/>
    </row>
    <row r="41" spans="2:14" s="17" customFormat="1" ht="12.75">
      <c r="B41" s="18"/>
      <c r="C41" s="19" t="s">
        <v>103</v>
      </c>
      <c r="D41" s="35" t="s">
        <v>104</v>
      </c>
      <c r="E41" s="35"/>
      <c r="F41" s="35"/>
      <c r="G41" s="35"/>
      <c r="H41" s="35"/>
      <c r="I41" s="35"/>
      <c r="J41" s="35"/>
      <c r="K41" s="35"/>
      <c r="L41" s="35"/>
      <c r="M41" s="35"/>
      <c r="N41" s="35"/>
    </row>
    <row r="42" spans="2:14" ht="25.5">
      <c r="B42" s="20">
        <v>17</v>
      </c>
      <c r="C42" s="21" t="s">
        <v>105</v>
      </c>
      <c r="D42" s="22" t="s">
        <v>106</v>
      </c>
      <c r="E42" s="22" t="s">
        <v>107</v>
      </c>
      <c r="F42" s="23">
        <v>0.06</v>
      </c>
      <c r="G42" s="24">
        <v>1</v>
      </c>
      <c r="H42" s="25">
        <f>F42 * G42 * 2729.52</f>
        <v>163.77119999999999</v>
      </c>
      <c r="I42" s="25">
        <f>F42 * G42 * 0</f>
        <v>0</v>
      </c>
      <c r="J42" s="25">
        <f>F42 * G42 * 0</f>
        <v>0</v>
      </c>
      <c r="K42" s="25">
        <f>F42 * G42 * 2598.50304</f>
        <v>155.9101824</v>
      </c>
      <c r="L42" s="25">
        <f>F42 * G42 * 619.699303</f>
        <v>37.181958179999995</v>
      </c>
      <c r="M42" s="25">
        <f>F42 * G42 * 545.904</f>
        <v>32.754239999999996</v>
      </c>
      <c r="N42" s="26">
        <f>SUM(H42:M42)</f>
        <v>389.61758057999992</v>
      </c>
    </row>
    <row r="43" spans="2:14" ht="38.25">
      <c r="B43" s="20">
        <v>18</v>
      </c>
      <c r="C43" s="21" t="s">
        <v>108</v>
      </c>
      <c r="D43" s="22" t="s">
        <v>109</v>
      </c>
      <c r="E43" s="22" t="s">
        <v>110</v>
      </c>
      <c r="F43" s="23">
        <v>0.253</v>
      </c>
      <c r="G43" s="24">
        <v>1</v>
      </c>
      <c r="H43" s="25">
        <f>F43 * G43 * 1091.808</f>
        <v>276.22742399999998</v>
      </c>
      <c r="I43" s="25">
        <f>F43 * G43 * 0</f>
        <v>0</v>
      </c>
      <c r="J43" s="25">
        <f>F43 * G43 * 0</f>
        <v>0</v>
      </c>
      <c r="K43" s="25">
        <f>F43 * G43 * 1039.401216</f>
        <v>262.96850764800001</v>
      </c>
      <c r="L43" s="25">
        <f>F43 * G43 * 247.879721</f>
        <v>62.713569412999995</v>
      </c>
      <c r="M43" s="25">
        <f>F43 * G43 * 218.3616</f>
        <v>55.2454848</v>
      </c>
      <c r="N43" s="26">
        <f>SUM(H43:M43)</f>
        <v>657.15498586099989</v>
      </c>
    </row>
    <row r="44" spans="2:14" s="17" customFormat="1" ht="12.75">
      <c r="B44" s="18"/>
      <c r="C44" s="19" t="s">
        <v>111</v>
      </c>
      <c r="D44" s="35" t="s">
        <v>112</v>
      </c>
      <c r="E44" s="35"/>
      <c r="F44" s="35"/>
      <c r="G44" s="35"/>
      <c r="H44" s="35"/>
      <c r="I44" s="35"/>
      <c r="J44" s="35"/>
      <c r="K44" s="35"/>
      <c r="L44" s="35"/>
      <c r="M44" s="35"/>
      <c r="N44" s="35"/>
    </row>
    <row r="45" spans="2:14" ht="25.5">
      <c r="B45" s="20">
        <v>19</v>
      </c>
      <c r="C45" s="21" t="s">
        <v>113</v>
      </c>
      <c r="D45" s="22" t="s">
        <v>114</v>
      </c>
      <c r="E45" s="22" t="s">
        <v>33</v>
      </c>
      <c r="F45" s="23">
        <v>28.8</v>
      </c>
      <c r="G45" s="24">
        <v>1</v>
      </c>
      <c r="H45" s="25">
        <f>F45 * G45 * 950.793</f>
        <v>27382.838400000001</v>
      </c>
      <c r="I45" s="25">
        <f>F45 * G45 * 7.170829</f>
        <v>206.5198752</v>
      </c>
      <c r="J45" s="25">
        <f>F45 * G45 * 0</f>
        <v>0</v>
      </c>
      <c r="K45" s="25">
        <f>F45 * G45 * 905.154935999999</f>
        <v>26068.462156799971</v>
      </c>
      <c r="L45" s="25">
        <f>F45 * G45 * 216.620762</f>
        <v>6238.6779456000004</v>
      </c>
      <c r="M45" s="25">
        <f>F45 * G45 * 190.1586</f>
        <v>5476.5676800000001</v>
      </c>
      <c r="N45" s="26">
        <f>SUM(H45:M45)</f>
        <v>65373.066057599972</v>
      </c>
    </row>
    <row r="46" spans="2:14" s="17" customFormat="1" ht="12.75">
      <c r="B46" s="18"/>
      <c r="C46" s="19" t="s">
        <v>115</v>
      </c>
      <c r="D46" s="35" t="s">
        <v>116</v>
      </c>
      <c r="E46" s="35"/>
      <c r="F46" s="35"/>
      <c r="G46" s="35"/>
      <c r="H46" s="35"/>
      <c r="I46" s="35"/>
      <c r="J46" s="35"/>
      <c r="K46" s="35"/>
      <c r="L46" s="35"/>
      <c r="M46" s="35"/>
      <c r="N46" s="35"/>
    </row>
    <row r="47" spans="2:14" ht="25.5">
      <c r="B47" s="20">
        <v>20</v>
      </c>
      <c r="C47" s="21" t="s">
        <v>117</v>
      </c>
      <c r="D47" s="22" t="s">
        <v>118</v>
      </c>
      <c r="E47" s="22" t="s">
        <v>119</v>
      </c>
      <c r="F47" s="23">
        <v>86.4</v>
      </c>
      <c r="G47" s="24">
        <v>1</v>
      </c>
      <c r="H47" s="25">
        <f>F47 * G47 * 223.97976</f>
        <v>19351.851264000001</v>
      </c>
      <c r="I47" s="25">
        <f>F47 * G47 * 0</f>
        <v>0</v>
      </c>
      <c r="J47" s="25">
        <f>F47 * G47 * 0</f>
        <v>0</v>
      </c>
      <c r="K47" s="25">
        <f>F47 * G47 * 213.228732</f>
        <v>18422.962444800003</v>
      </c>
      <c r="L47" s="25">
        <f>F47 * G47 * 50.8514689999999</f>
        <v>4393.5669215999915</v>
      </c>
      <c r="M47" s="25">
        <f>F47 * G47 * 44.795952</f>
        <v>3870.3702528000003</v>
      </c>
      <c r="N47" s="26">
        <f>SUM(H47:M47)</f>
        <v>46038.750883200002</v>
      </c>
    </row>
    <row r="48" spans="2:14" s="27" customFormat="1" ht="20.100000000000001" customHeight="1">
      <c r="B48" s="36" t="s">
        <v>120</v>
      </c>
      <c r="C48" s="36"/>
      <c r="D48" s="36"/>
      <c r="E48" s="36"/>
      <c r="F48" s="36"/>
      <c r="G48" s="36"/>
      <c r="H48" s="28">
        <f t="shared" ref="H48:N48" si="0">SUM(H4:H47)</f>
        <v>73478.562068999992</v>
      </c>
      <c r="I48" s="28">
        <f t="shared" si="0"/>
        <v>27992.712318911999</v>
      </c>
      <c r="J48" s="28">
        <f t="shared" si="0"/>
        <v>0</v>
      </c>
      <c r="K48" s="28">
        <f t="shared" si="0"/>
        <v>69951.591130081943</v>
      </c>
      <c r="L48" s="28">
        <f t="shared" si="0"/>
        <v>19635.50998327999</v>
      </c>
      <c r="M48" s="28">
        <f t="shared" si="0"/>
        <v>14695.712413400001</v>
      </c>
      <c r="N48" s="29">
        <f t="shared" si="0"/>
        <v>205754.08791467396</v>
      </c>
    </row>
  </sheetData>
  <mergeCells count="28">
    <mergeCell ref="D44:N44"/>
    <mergeCell ref="D46:N46"/>
    <mergeCell ref="B48:G48"/>
    <mergeCell ref="D34:N34"/>
    <mergeCell ref="D37:N37"/>
    <mergeCell ref="D39:N39"/>
    <mergeCell ref="D40:N40"/>
    <mergeCell ref="D41:N41"/>
    <mergeCell ref="D25:N25"/>
    <mergeCell ref="D27:N27"/>
    <mergeCell ref="D29:N29"/>
    <mergeCell ref="D30:N30"/>
    <mergeCell ref="D33:N33"/>
    <mergeCell ref="D16:N16"/>
    <mergeCell ref="D18:N18"/>
    <mergeCell ref="D21:N21"/>
    <mergeCell ref="D22:N22"/>
    <mergeCell ref="D23:N23"/>
    <mergeCell ref="D7:N7"/>
    <mergeCell ref="D8:N8"/>
    <mergeCell ref="D9:N9"/>
    <mergeCell ref="D13:N13"/>
    <mergeCell ref="D15:N15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&amp;C&amp;KCCCCCC&amp;"Arial"Д.Ульянова 14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Д.Ульянова 14</dc:title>
  <dc:creator/>
  <cp:lastModifiedBy/>
  <cp:lastPrinted>2022-03-22T07:38:29Z</cp:lastPrinted>
  <dcterms:created xsi:type="dcterms:W3CDTF">2022-03-22T07:38:29Z</dcterms:created>
  <dcterms:modified xsi:type="dcterms:W3CDTF">2022-03-22T07:39:24Z</dcterms:modified>
</cp:coreProperties>
</file>