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360" yWindow="525" windowWidth="19815" windowHeight="7365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36" i="1"/>
  <c r="L36"/>
  <c r="K36"/>
  <c r="J36"/>
  <c r="N36" s="1"/>
  <c r="I36"/>
  <c r="H36"/>
  <c r="M34"/>
  <c r="L34"/>
  <c r="K34"/>
  <c r="J34"/>
  <c r="I34"/>
  <c r="H34"/>
  <c r="N34" s="1"/>
  <c r="M32"/>
  <c r="L32"/>
  <c r="K32"/>
  <c r="J32"/>
  <c r="I32"/>
  <c r="H32"/>
  <c r="N32" s="1"/>
  <c r="M30"/>
  <c r="L30"/>
  <c r="K30"/>
  <c r="J30"/>
  <c r="N30" s="1"/>
  <c r="I30"/>
  <c r="H30"/>
  <c r="M26"/>
  <c r="L26"/>
  <c r="K26"/>
  <c r="J26"/>
  <c r="N26" s="1"/>
  <c r="I26"/>
  <c r="H26"/>
  <c r="M24"/>
  <c r="L24"/>
  <c r="K24"/>
  <c r="J24"/>
  <c r="I24"/>
  <c r="H24"/>
  <c r="N24" s="1"/>
  <c r="M22"/>
  <c r="L22"/>
  <c r="K22"/>
  <c r="J22"/>
  <c r="I22"/>
  <c r="H22"/>
  <c r="N22" s="1"/>
  <c r="M20"/>
  <c r="L20"/>
  <c r="K20"/>
  <c r="J20"/>
  <c r="N20" s="1"/>
  <c r="I20"/>
  <c r="H20"/>
  <c r="M18"/>
  <c r="L18"/>
  <c r="K18"/>
  <c r="J18"/>
  <c r="N18" s="1"/>
  <c r="I18"/>
  <c r="H18"/>
  <c r="M16"/>
  <c r="L16"/>
  <c r="K16"/>
  <c r="J16"/>
  <c r="I16"/>
  <c r="H16"/>
  <c r="N16" s="1"/>
  <c r="M14"/>
  <c r="L14"/>
  <c r="K14"/>
  <c r="J14"/>
  <c r="I14"/>
  <c r="H14"/>
  <c r="N14" s="1"/>
  <c r="M10"/>
  <c r="L10"/>
  <c r="K10"/>
  <c r="K37" s="1"/>
  <c r="J10"/>
  <c r="N10" s="1"/>
  <c r="I10"/>
  <c r="H10"/>
  <c r="M6"/>
  <c r="M37" s="1"/>
  <c r="L6"/>
  <c r="L37" s="1"/>
  <c r="K6"/>
  <c r="J6"/>
  <c r="J37" s="1"/>
  <c r="I6"/>
  <c r="I37" s="1"/>
  <c r="H6"/>
  <c r="H37" s="1"/>
  <c r="N6" l="1"/>
  <c r="N37" s="1"/>
</calcChain>
</file>

<file path=xl/sharedStrings.xml><?xml version="1.0" encoding="utf-8"?>
<sst xmlns="http://schemas.openxmlformats.org/spreadsheetml/2006/main" count="99" uniqueCount="95">
  <si>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</si>
  <si>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</si>
  <si>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</si>
  <si>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</si>
  <si>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</si>
  <si>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</si>
  <si>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</si>
  <si>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</si>
  <si>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</si>
  <si>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</si>
  <si>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</si>
  <si>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</si>
  <si>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</si>
  <si>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</si>
  <si>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Д. Ульянова 15</t>
  </si>
  <si>
    <t>Дата изменения:</t>
  </si>
  <si>
    <t>24.03.2022</t>
  </si>
  <si>
    <t>Общая площадь, кв.м:</t>
  </si>
  <si>
    <t>1.1</t>
  </si>
  <si>
    <t>Фундаменты</t>
  </si>
  <si>
    <t>1.1.7</t>
  </si>
  <si>
    <t>Восстановление (ремонт)  освещения и  вентиляции  подвала</t>
  </si>
  <si>
    <t>1.1.7.3</t>
  </si>
  <si>
    <t>Замена ламп накаливания</t>
  </si>
  <si>
    <t>100 шт.</t>
  </si>
  <si>
    <t>2.1</t>
  </si>
  <si>
    <t>Система теплоснабжения</t>
  </si>
  <si>
    <t>2.1.9</t>
  </si>
  <si>
    <t>Модернизация системы отопления и горячего водоснабжения</t>
  </si>
  <si>
    <t>2.1.9.4</t>
  </si>
  <si>
    <t>Установка запорных вентилей на радиаторах</t>
  </si>
  <si>
    <t>2.1.9.4.1</t>
  </si>
  <si>
    <t>Установка запорных вентилей на радиаторах, диаметром 10-15 мм</t>
  </si>
  <si>
    <t>1 прибор</t>
  </si>
  <si>
    <t>2.2</t>
  </si>
  <si>
    <t>Системы холодного и горячего водоснабжения</t>
  </si>
  <si>
    <t>2.2.1</t>
  </si>
  <si>
    <t>Ремонт,  замена  внутридомовых сетей водоснабжения</t>
  </si>
  <si>
    <t>2.2.1.1</t>
  </si>
  <si>
    <t>Смена отдельных участков трубопроводов  горячего водоснабжения из стальных водогазопроводных оцинкованных труб при соединении труб на резьбе</t>
  </si>
  <si>
    <t>2.2.1.1.1</t>
  </si>
  <si>
    <t>Смена отдельных участков трубопроводов  водоснабжения из стальных водогазопроводных оцинкованных труб диаметром  15 мм</t>
  </si>
  <si>
    <t>100 м трубопроводов</t>
  </si>
  <si>
    <t>2.2.1.5</t>
  </si>
  <si>
    <t>Замена внутренних водопроводов из стальных труб на металлопластиковые</t>
  </si>
  <si>
    <t>2.2.1.5.2</t>
  </si>
  <si>
    <t>Замена внутренних водопроводов из стальных труб   на металлопластиковые, диаметром 25 мм</t>
  </si>
  <si>
    <t>2.2.1.7</t>
  </si>
  <si>
    <t>Смена сгонов у трубопроводов</t>
  </si>
  <si>
    <t>2.2.1.7.1</t>
  </si>
  <si>
    <t>Смена сгонов у трубопроводов диаметром до 20 мм</t>
  </si>
  <si>
    <t>100 сгонов</t>
  </si>
  <si>
    <t>2.2.1.8</t>
  </si>
  <si>
    <t>Уплотнение сгонов</t>
  </si>
  <si>
    <t>2.2.1.8.1</t>
  </si>
  <si>
    <t>Уплотнение сгонов с применением льняной пряди или асбестового шнура (без разборки сгонов) диаметром до 20 мм</t>
  </si>
  <si>
    <t>1 сгон</t>
  </si>
  <si>
    <t>2.2.6</t>
  </si>
  <si>
    <t>Ремонт оборудования, приборов и арматуры водопроводной сети общего пользования</t>
  </si>
  <si>
    <t>2.2.6.1</t>
  </si>
  <si>
    <t>Смена вентилей и клапанов обратных муфтовых диаметром до 20 мм</t>
  </si>
  <si>
    <t>2.3</t>
  </si>
  <si>
    <t>Система водоотведения</t>
  </si>
  <si>
    <t>2.3.4</t>
  </si>
  <si>
    <t>Устранение засоров внутренних канализационных трубопроводов</t>
  </si>
  <si>
    <t>100 м трубы</t>
  </si>
  <si>
    <t>2.3.10</t>
  </si>
  <si>
    <t>Прокладка внутренних трубопроводов канализации из полипропиленовых труб</t>
  </si>
  <si>
    <t>2.3.10.2</t>
  </si>
  <si>
    <t>Прокладка внутренних трубопроводов канализации из полипропиленовых труб диаметром 110 мм</t>
  </si>
  <si>
    <t>100 м трубопровода</t>
  </si>
  <si>
    <t>2.6</t>
  </si>
  <si>
    <t>Подготовка многоквартирного дома к сезонной эксплуатации, проведение технических осмотров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</si>
  <si>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</si>
  <si>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</si>
  <si>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</si>
  <si>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</si>
  <si>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</si>
  <si>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</si>
  <si>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</si>
  <si>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</si>
  <si>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</si>
  <si>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</si>
  <si>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</si>
  <si>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2.6.14.5</t>
  </si>
  <si>
    <t>Устранение незначительных неисправностей в  системе   теплоснабжения</t>
  </si>
  <si>
    <t>2.6.14.5.3</t>
  </si>
  <si>
    <t>Вывертывание и ввертывание радиаторной пробки</t>
  </si>
  <si>
    <t>100 пробок</t>
  </si>
  <si>
    <t>2.6.14.5.5</t>
  </si>
  <si>
    <t>Ликвидация воздушных пробок в системе отопления</t>
  </si>
  <si>
    <t>2.6.14.5.5.1</t>
  </si>
  <si>
    <t>Ликвидация воздушных пробок в стояке системы отопления</t>
  </si>
  <si>
    <t>100 стояков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</si>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</sst>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</font>
    <font>
      <sz val="10"/>
      <name val="Calibri"/>
    </font>
    <font>
      <sz val="12"/>
      <name val="Calibri"/>
    </font>
    <font>
      <b/>
      <sz val="9"/>
      <color rgb="FFFFFFFF"/>
      <name val="Calibri"/>
    </font>
    <font>
      <b/>
      <sz val="18"/>
      <color rgb="FF000099"/>
      <name val="Calibri"/>
    </font>
    <font>
      <i/>
      <sz val="11"/>
      <name val="Calibri"/>
    </font>
    <font>
      <b/>
      <sz val="11"/>
      <name val="Calibri"/>
    </font>
    <font>
      <b/>
      <sz val="10"/>
      <color rgb="FF707070"/>
      <name val="Calibri"/>
    </font>
    <font>
      <b/>
      <sz val="11"/>
      <color rgb="FFFFFFFF"/>
      <name val="Calibri"/>
    </font>
    <font>
      <b/>
      <sz val="10"/>
      <color rgb="FFFFFFFF"/>
      <name val="Calibri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8" fillId="4" borderId="11" xfId="0" applyFont="1" applyFill="1" applyBorder="1" applyAlignment="1">
      <alignment indent="3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7"/>
  <sheetViews>
    <sheetView tabSelected="1" workbookViewId="0">
      <pane ySplit="1" topLeftCell="A2" activePane="bottomLeft" state="frozen"/>
      <selection pane="bottomLeft" activeCell="H6" sqref="H6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>
      <c r="B6" s="20">
        <v>1</v>
      </c>
      <c r="C6" s="21" t="s">
        <v>22</v>
      </c>
      <c r="D6" s="22" t="s">
        <v>23</v>
      </c>
      <c r="E6" s="22" t="s">
        <v>24</v>
      </c>
      <c r="F6" s="23">
        <v>0.05</v>
      </c>
      <c r="G6" s="24">
        <v>1</v>
      </c>
      <c r="H6" s="25">
        <f>F6 * G6 * 1717.8024</f>
        <v>85.89012000000001</v>
      </c>
      <c r="I6" s="25">
        <f>F6 * G6 * 2684.13</f>
        <v>134.20650000000001</v>
      </c>
      <c r="J6" s="25">
        <f>F6 * G6 * 0</f>
        <v>0</v>
      </c>
      <c r="K6" s="25">
        <f>F6 * G6 * 1635.347885</f>
        <v>81.767394249999995</v>
      </c>
      <c r="L6" s="25">
        <f>F6 * G6 * 673.178701</f>
        <v>33.658935050000004</v>
      </c>
      <c r="M6" s="25">
        <f>F6 * G6 * 343.56048</f>
        <v>17.178024000000001</v>
      </c>
      <c r="N6" s="26">
        <f>SUM(H6:M6)</f>
        <v>352.70097330000004</v>
      </c>
    </row>
    <row r="7" spans="1:14" s="14" customFormat="1" ht="15">
      <c r="B7" s="15"/>
      <c r="C7" s="16" t="s">
        <v>25</v>
      </c>
      <c r="D7" s="33" t="s">
        <v>26</v>
      </c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17" customFormat="1" ht="12.75">
      <c r="B8" s="18"/>
      <c r="C8" s="19" t="s">
        <v>27</v>
      </c>
      <c r="D8" s="34" t="s">
        <v>28</v>
      </c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s="17" customFormat="1" ht="12.75">
      <c r="B9" s="18"/>
      <c r="C9" s="19" t="s">
        <v>29</v>
      </c>
      <c r="D9" s="35" t="s">
        <v>30</v>
      </c>
      <c r="E9" s="35"/>
      <c r="F9" s="35"/>
      <c r="G9" s="35"/>
      <c r="H9" s="35"/>
      <c r="I9" s="35"/>
      <c r="J9" s="35"/>
      <c r="K9" s="35"/>
      <c r="L9" s="35"/>
      <c r="M9" s="35"/>
      <c r="N9" s="35"/>
    </row>
    <row r="10" spans="1:14" ht="25.5">
      <c r="B10" s="20">
        <v>2</v>
      </c>
      <c r="C10" s="21" t="s">
        <v>31</v>
      </c>
      <c r="D10" s="22" t="s">
        <v>32</v>
      </c>
      <c r="E10" s="22" t="s">
        <v>33</v>
      </c>
      <c r="F10" s="23">
        <v>8</v>
      </c>
      <c r="G10" s="24">
        <v>1</v>
      </c>
      <c r="H10" s="25">
        <f>F10 * G10 * 103.72176</f>
        <v>829.77408000000003</v>
      </c>
      <c r="I10" s="25">
        <f>F10 * G10 * 964.2264</f>
        <v>7713.8112000000001</v>
      </c>
      <c r="J10" s="25">
        <f>F10 * G10 * 0</f>
        <v>0</v>
      </c>
      <c r="K10" s="25">
        <f>F10 * G10 * 98.743116</f>
        <v>789.944928</v>
      </c>
      <c r="L10" s="25">
        <f>F10 * G10 * 125.274459</f>
        <v>1002.1956719999999</v>
      </c>
      <c r="M10" s="25">
        <f>F10 * G10 * 20.744352</f>
        <v>165.95481599999999</v>
      </c>
      <c r="N10" s="26">
        <f>SUM(H10:M10)</f>
        <v>10501.680695999999</v>
      </c>
    </row>
    <row r="11" spans="1:14" s="14" customFormat="1" ht="15">
      <c r="B11" s="15"/>
      <c r="C11" s="16" t="s">
        <v>34</v>
      </c>
      <c r="D11" s="33" t="s">
        <v>35</v>
      </c>
      <c r="E11" s="33"/>
      <c r="F11" s="33"/>
      <c r="G11" s="33"/>
      <c r="H11" s="33"/>
      <c r="I11" s="33"/>
      <c r="J11" s="33"/>
      <c r="K11" s="33"/>
      <c r="L11" s="33"/>
      <c r="M11" s="33"/>
      <c r="N11" s="33"/>
    </row>
    <row r="12" spans="1:14" s="17" customFormat="1" ht="12.75">
      <c r="B12" s="18"/>
      <c r="C12" s="19" t="s">
        <v>36</v>
      </c>
      <c r="D12" s="34" t="s">
        <v>37</v>
      </c>
      <c r="E12" s="34"/>
      <c r="F12" s="34"/>
      <c r="G12" s="34"/>
      <c r="H12" s="34"/>
      <c r="I12" s="34"/>
      <c r="J12" s="34"/>
      <c r="K12" s="34"/>
      <c r="L12" s="34"/>
      <c r="M12" s="34"/>
      <c r="N12" s="34"/>
    </row>
    <row r="13" spans="1:14" s="17" customFormat="1" ht="12.75">
      <c r="B13" s="18"/>
      <c r="C13" s="19" t="s">
        <v>38</v>
      </c>
      <c r="D13" s="35" t="s">
        <v>39</v>
      </c>
      <c r="E13" s="35"/>
      <c r="F13" s="35"/>
      <c r="G13" s="35"/>
      <c r="H13" s="35"/>
      <c r="I13" s="35"/>
      <c r="J13" s="35"/>
      <c r="K13" s="35"/>
      <c r="L13" s="35"/>
      <c r="M13" s="35"/>
      <c r="N13" s="35"/>
    </row>
    <row r="14" spans="1:14" ht="38.25">
      <c r="B14" s="20">
        <v>3</v>
      </c>
      <c r="C14" s="21" t="s">
        <v>40</v>
      </c>
      <c r="D14" s="22" t="s">
        <v>41</v>
      </c>
      <c r="E14" s="22" t="s">
        <v>42</v>
      </c>
      <c r="F14" s="23">
        <v>3.5000000000000003E-2</v>
      </c>
      <c r="G14" s="24">
        <v>1</v>
      </c>
      <c r="H14" s="25">
        <f>F14 * G14 * 19227.9588</f>
        <v>672.97855800000002</v>
      </c>
      <c r="I14" s="25">
        <f>F14 * G14 * 12674.744096</f>
        <v>443.61604336000005</v>
      </c>
      <c r="J14" s="25">
        <f>F14 * G14 * 0</f>
        <v>0</v>
      </c>
      <c r="K14" s="25">
        <f>F14 * G14 * 18305.016778</f>
        <v>640.67558723000013</v>
      </c>
      <c r="L14" s="25">
        <f>F14 * G14 * 5702.624356</f>
        <v>199.59185246000004</v>
      </c>
      <c r="M14" s="25">
        <f>F14 * G14 * 3845.59176</f>
        <v>134.59571160000002</v>
      </c>
      <c r="N14" s="26">
        <f>SUM(H14:M14)</f>
        <v>2091.4577526500002</v>
      </c>
    </row>
    <row r="15" spans="1:14" s="17" customFormat="1" ht="12.75">
      <c r="B15" s="18"/>
      <c r="C15" s="19" t="s">
        <v>43</v>
      </c>
      <c r="D15" s="35" t="s">
        <v>44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</row>
    <row r="16" spans="1:14" ht="25.5">
      <c r="B16" s="20">
        <v>4</v>
      </c>
      <c r="C16" s="21" t="s">
        <v>45</v>
      </c>
      <c r="D16" s="22" t="s">
        <v>46</v>
      </c>
      <c r="E16" s="22" t="s">
        <v>42</v>
      </c>
      <c r="F16" s="23">
        <v>0.04</v>
      </c>
      <c r="G16" s="24">
        <v>1</v>
      </c>
      <c r="H16" s="25">
        <f>F16 * G16 * 37793.3664</f>
        <v>1511.7346560000001</v>
      </c>
      <c r="I16" s="25">
        <f>F16 * G16 * 54429.248874</f>
        <v>2177.1699549599998</v>
      </c>
      <c r="J16" s="25">
        <f>F16 * G16 * 0</f>
        <v>0</v>
      </c>
      <c r="K16" s="25">
        <f>F16 * G16 * 35979.284813</f>
        <v>1439.1713925199999</v>
      </c>
      <c r="L16" s="25">
        <f>F16 * G16 * 14322.74049</f>
        <v>572.90961960000004</v>
      </c>
      <c r="M16" s="25">
        <f>F16 * G16 * 7558.67328</f>
        <v>302.34693120000003</v>
      </c>
      <c r="N16" s="26">
        <f>SUM(H16:M16)</f>
        <v>6003.3325542799994</v>
      </c>
    </row>
    <row r="17" spans="2:14" s="17" customFormat="1" ht="12.75">
      <c r="B17" s="18"/>
      <c r="C17" s="19" t="s">
        <v>47</v>
      </c>
      <c r="D17" s="35" t="s">
        <v>48</v>
      </c>
      <c r="E17" s="35"/>
      <c r="F17" s="35"/>
      <c r="G17" s="35"/>
      <c r="H17" s="35"/>
      <c r="I17" s="35"/>
      <c r="J17" s="35"/>
      <c r="K17" s="35"/>
      <c r="L17" s="35"/>
      <c r="M17" s="35"/>
      <c r="N17" s="35"/>
    </row>
    <row r="18" spans="2:14">
      <c r="B18" s="20">
        <v>5</v>
      </c>
      <c r="C18" s="21" t="s">
        <v>49</v>
      </c>
      <c r="D18" s="22" t="s">
        <v>50</v>
      </c>
      <c r="E18" s="22" t="s">
        <v>51</v>
      </c>
      <c r="F18" s="23">
        <v>0.06</v>
      </c>
      <c r="G18" s="24">
        <v>1</v>
      </c>
      <c r="H18" s="25">
        <f>F18 * G18 * 7833.7224</f>
        <v>470.02334399999995</v>
      </c>
      <c r="I18" s="25">
        <f>F18 * G18 * 4906.963041</f>
        <v>294.41778246000001</v>
      </c>
      <c r="J18" s="25">
        <f>F18 * G18 * 0</f>
        <v>0</v>
      </c>
      <c r="K18" s="25">
        <f>F18 * G18 * 7457.703725</f>
        <v>447.46222349999999</v>
      </c>
      <c r="L18" s="25">
        <f>F18 * G18 * 2296.221599</f>
        <v>137.77329594</v>
      </c>
      <c r="M18" s="25">
        <f>F18 * G18 * 1566.74448</f>
        <v>94.004668800000005</v>
      </c>
      <c r="N18" s="26">
        <f>SUM(H18:M18)</f>
        <v>1443.6813147</v>
      </c>
    </row>
    <row r="19" spans="2:14" s="17" customFormat="1" ht="12.75">
      <c r="B19" s="18"/>
      <c r="C19" s="19" t="s">
        <v>52</v>
      </c>
      <c r="D19" s="35" t="s">
        <v>53</v>
      </c>
      <c r="E19" s="35"/>
      <c r="F19" s="35"/>
      <c r="G19" s="35"/>
      <c r="H19" s="35"/>
      <c r="I19" s="35"/>
      <c r="J19" s="35"/>
      <c r="K19" s="35"/>
      <c r="L19" s="35"/>
      <c r="M19" s="35"/>
      <c r="N19" s="35"/>
    </row>
    <row r="20" spans="2:14" ht="38.25">
      <c r="B20" s="20">
        <v>6</v>
      </c>
      <c r="C20" s="21" t="s">
        <v>54</v>
      </c>
      <c r="D20" s="22" t="s">
        <v>55</v>
      </c>
      <c r="E20" s="22" t="s">
        <v>56</v>
      </c>
      <c r="F20" s="23">
        <v>6</v>
      </c>
      <c r="G20" s="24">
        <v>1</v>
      </c>
      <c r="H20" s="25">
        <f>F20 * G20 * 31.45272</f>
        <v>188.71632</v>
      </c>
      <c r="I20" s="25">
        <f>F20 * G20 * 3.168864</f>
        <v>19.013184000000003</v>
      </c>
      <c r="J20" s="25">
        <f>F20 * G20 * 0</f>
        <v>0</v>
      </c>
      <c r="K20" s="25">
        <f>F20 * G20 * 29.942989</f>
        <v>179.65793400000001</v>
      </c>
      <c r="L20" s="25">
        <f>F20 * G20 * 7.47521499999999</f>
        <v>44.851289999999935</v>
      </c>
      <c r="M20" s="25">
        <f>F20 * G20 * 6.290544</f>
        <v>37.743263999999996</v>
      </c>
      <c r="N20" s="26">
        <f>SUM(H20:M20)</f>
        <v>469.98199199999993</v>
      </c>
    </row>
    <row r="21" spans="2:14" s="17" customFormat="1" ht="12.75">
      <c r="B21" s="18"/>
      <c r="C21" s="19" t="s">
        <v>57</v>
      </c>
      <c r="D21" s="34" t="s">
        <v>58</v>
      </c>
      <c r="E21" s="34"/>
      <c r="F21" s="34"/>
      <c r="G21" s="34"/>
      <c r="H21" s="34"/>
      <c r="I21" s="34"/>
      <c r="J21" s="34"/>
      <c r="K21" s="34"/>
      <c r="L21" s="34"/>
      <c r="M21" s="34"/>
      <c r="N21" s="34"/>
    </row>
    <row r="22" spans="2:14" ht="25.5">
      <c r="B22" s="20">
        <v>7</v>
      </c>
      <c r="C22" s="21" t="s">
        <v>59</v>
      </c>
      <c r="D22" s="22" t="s">
        <v>60</v>
      </c>
      <c r="E22" s="22" t="s">
        <v>24</v>
      </c>
      <c r="F22" s="23">
        <v>0.03</v>
      </c>
      <c r="G22" s="24">
        <v>1</v>
      </c>
      <c r="H22" s="25">
        <f>F22 * G22 * 20853.288</f>
        <v>625.59864000000005</v>
      </c>
      <c r="I22" s="25">
        <f>F22 * G22 * 14281.888527</f>
        <v>428.45665580999997</v>
      </c>
      <c r="J22" s="25">
        <f>F22 * G22 * 0</f>
        <v>0</v>
      </c>
      <c r="K22" s="25">
        <f>F22 * G22 * 19852.330176</f>
        <v>595.56990527999994</v>
      </c>
      <c r="L22" s="25">
        <f>F22 * G22 * 6241.186334</f>
        <v>187.23559001999999</v>
      </c>
      <c r="M22" s="25">
        <f>F22 * G22 * 4170.6576</f>
        <v>125.11972799999998</v>
      </c>
      <c r="N22" s="26">
        <f>SUM(H22:M22)</f>
        <v>1961.9805191099997</v>
      </c>
    </row>
    <row r="23" spans="2:14" s="14" customFormat="1" ht="15">
      <c r="B23" s="15"/>
      <c r="C23" s="16" t="s">
        <v>61</v>
      </c>
      <c r="D23" s="33" t="s">
        <v>62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</row>
    <row r="24" spans="2:14" ht="25.5">
      <c r="B24" s="20">
        <v>8</v>
      </c>
      <c r="C24" s="21" t="s">
        <v>63</v>
      </c>
      <c r="D24" s="22" t="s">
        <v>64</v>
      </c>
      <c r="E24" s="22" t="s">
        <v>65</v>
      </c>
      <c r="F24" s="23">
        <v>0.95</v>
      </c>
      <c r="G24" s="24">
        <v>1</v>
      </c>
      <c r="H24" s="25">
        <f>F24 * G24 * 2443.6344</f>
        <v>2321.4526799999999</v>
      </c>
      <c r="I24" s="25">
        <f>F24 * G24 * 600.324723</f>
        <v>570.30848684999989</v>
      </c>
      <c r="J24" s="25">
        <f>F24 * G24 * 0</f>
        <v>0</v>
      </c>
      <c r="K24" s="25">
        <f>F24 * G24 * 2326.339949</f>
        <v>2210.02295155</v>
      </c>
      <c r="L24" s="25">
        <f>F24 * G24 * 618.127237999999</f>
        <v>587.22087609999903</v>
      </c>
      <c r="M24" s="25">
        <f>F24 * G24 * 488.72688</f>
        <v>464.29053599999997</v>
      </c>
      <c r="N24" s="26">
        <f>SUM(H24:M24)</f>
        <v>6153.2955304999996</v>
      </c>
    </row>
    <row r="25" spans="2:14" s="17" customFormat="1" ht="12.75">
      <c r="B25" s="18"/>
      <c r="C25" s="19" t="s">
        <v>66</v>
      </c>
      <c r="D25" s="34" t="s">
        <v>67</v>
      </c>
      <c r="E25" s="34"/>
      <c r="F25" s="34"/>
      <c r="G25" s="34"/>
      <c r="H25" s="34"/>
      <c r="I25" s="34"/>
      <c r="J25" s="34"/>
      <c r="K25" s="34"/>
      <c r="L25" s="34"/>
      <c r="M25" s="34"/>
      <c r="N25" s="34"/>
    </row>
    <row r="26" spans="2:14" ht="25.5">
      <c r="B26" s="20">
        <v>9</v>
      </c>
      <c r="C26" s="21" t="s">
        <v>68</v>
      </c>
      <c r="D26" s="22" t="s">
        <v>69</v>
      </c>
      <c r="E26" s="22" t="s">
        <v>70</v>
      </c>
      <c r="F26" s="23">
        <v>0.04</v>
      </c>
      <c r="G26" s="24">
        <v>1</v>
      </c>
      <c r="H26" s="25">
        <f>F26 * G26 * 14892.674832</f>
        <v>595.70699328000001</v>
      </c>
      <c r="I26" s="25">
        <f>F26 * G26 * 24214.966772</f>
        <v>968.59867087999999</v>
      </c>
      <c r="J26" s="25">
        <f>F26 * G26 * 1.114113</f>
        <v>4.4564519999999996E-2</v>
      </c>
      <c r="K26" s="25">
        <f>F26 * G26 * 14177.82644</f>
        <v>567.11305760000005</v>
      </c>
      <c r="L26" s="25">
        <f>F26 * G26 * 5935.969857</f>
        <v>237.43879428</v>
      </c>
      <c r="M26" s="25">
        <f>F26 * G26 * 2978.534966</f>
        <v>119.14139864000001</v>
      </c>
      <c r="N26" s="26">
        <f>SUM(H26:M26)</f>
        <v>2488.0434791999996</v>
      </c>
    </row>
    <row r="27" spans="2:14" s="14" customFormat="1" ht="15">
      <c r="B27" s="15"/>
      <c r="C27" s="16" t="s">
        <v>71</v>
      </c>
      <c r="D27" s="33" t="s">
        <v>72</v>
      </c>
      <c r="E27" s="33"/>
      <c r="F27" s="33"/>
      <c r="G27" s="33"/>
      <c r="H27" s="33"/>
      <c r="I27" s="33"/>
      <c r="J27" s="33"/>
      <c r="K27" s="33"/>
      <c r="L27" s="33"/>
      <c r="M27" s="33"/>
      <c r="N27" s="33"/>
    </row>
    <row r="28" spans="2:14" s="17" customFormat="1" ht="12.75">
      <c r="B28" s="18"/>
      <c r="C28" s="19" t="s">
        <v>73</v>
      </c>
      <c r="D28" s="34" t="s">
        <v>74</v>
      </c>
      <c r="E28" s="34"/>
      <c r="F28" s="34"/>
      <c r="G28" s="34"/>
      <c r="H28" s="34"/>
      <c r="I28" s="34"/>
      <c r="J28" s="34"/>
      <c r="K28" s="34"/>
      <c r="L28" s="34"/>
      <c r="M28" s="34"/>
      <c r="N28" s="34"/>
    </row>
    <row r="29" spans="2:14" s="17" customFormat="1" ht="12.75">
      <c r="B29" s="18"/>
      <c r="C29" s="19" t="s">
        <v>75</v>
      </c>
      <c r="D29" s="35" t="s">
        <v>76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</row>
    <row r="30" spans="2:14" ht="25.5">
      <c r="B30" s="20">
        <v>10</v>
      </c>
      <c r="C30" s="21" t="s">
        <v>77</v>
      </c>
      <c r="D30" s="22" t="s">
        <v>78</v>
      </c>
      <c r="E30" s="22" t="s">
        <v>70</v>
      </c>
      <c r="F30" s="23">
        <v>19.2</v>
      </c>
      <c r="G30" s="24">
        <v>1</v>
      </c>
      <c r="H30" s="25">
        <f>F30 * G30 * 950.793</f>
        <v>18255.225599999998</v>
      </c>
      <c r="I30" s="25">
        <f>F30 * G30 * 7.170829</f>
        <v>137.6799168</v>
      </c>
      <c r="J30" s="25">
        <f>F30 * G30 * 0</f>
        <v>0</v>
      </c>
      <c r="K30" s="25">
        <f>F30 * G30 * 905.154935999999</f>
        <v>17378.974771199981</v>
      </c>
      <c r="L30" s="25">
        <f>F30 * G30 * 216.620762</f>
        <v>4159.1186304000003</v>
      </c>
      <c r="M30" s="25">
        <f>F30 * G30 * 190.1586</f>
        <v>3651.0451200000002</v>
      </c>
      <c r="N30" s="26">
        <f>SUM(H30:M30)</f>
        <v>43582.044038399981</v>
      </c>
    </row>
    <row r="31" spans="2:14" s="17" customFormat="1" ht="12.75">
      <c r="B31" s="18"/>
      <c r="C31" s="19" t="s">
        <v>79</v>
      </c>
      <c r="D31" s="35" t="s">
        <v>80</v>
      </c>
      <c r="E31" s="35"/>
      <c r="F31" s="35"/>
      <c r="G31" s="35"/>
      <c r="H31" s="35"/>
      <c r="I31" s="35"/>
      <c r="J31" s="35"/>
      <c r="K31" s="35"/>
      <c r="L31" s="35"/>
      <c r="M31" s="35"/>
      <c r="N31" s="35"/>
    </row>
    <row r="32" spans="2:14" ht="25.5">
      <c r="B32" s="20">
        <v>11</v>
      </c>
      <c r="C32" s="21" t="s">
        <v>81</v>
      </c>
      <c r="D32" s="22" t="s">
        <v>82</v>
      </c>
      <c r="E32" s="22" t="s">
        <v>83</v>
      </c>
      <c r="F32" s="23">
        <v>57.6</v>
      </c>
      <c r="G32" s="24">
        <v>1</v>
      </c>
      <c r="H32" s="25">
        <f>F32 * G32 * 223.97976</f>
        <v>12901.234176</v>
      </c>
      <c r="I32" s="25">
        <f>F32 * G32 * 0</f>
        <v>0</v>
      </c>
      <c r="J32" s="25">
        <f>F32 * G32 * 0</f>
        <v>0</v>
      </c>
      <c r="K32" s="25">
        <f>F32 * G32 * 213.228732</f>
        <v>12281.9749632</v>
      </c>
      <c r="L32" s="25">
        <f>F32 * G32 * 50.8514689999999</f>
        <v>2929.0446143999943</v>
      </c>
      <c r="M32" s="25">
        <f>F32 * G32 * 44.795952</f>
        <v>2580.2468352000001</v>
      </c>
      <c r="N32" s="26">
        <f>SUM(H32:M32)</f>
        <v>30692.500588799994</v>
      </c>
    </row>
    <row r="33" spans="2:14" s="17" customFormat="1" ht="12.75">
      <c r="B33" s="18"/>
      <c r="C33" s="19" t="s">
        <v>84</v>
      </c>
      <c r="D33" s="35" t="s">
        <v>85</v>
      </c>
      <c r="E33" s="35"/>
      <c r="F33" s="35"/>
      <c r="G33" s="35"/>
      <c r="H33" s="35"/>
      <c r="I33" s="35"/>
      <c r="J33" s="35"/>
      <c r="K33" s="35"/>
      <c r="L33" s="35"/>
      <c r="M33" s="35"/>
      <c r="N33" s="35"/>
    </row>
    <row r="34" spans="2:14">
      <c r="B34" s="20">
        <v>12</v>
      </c>
      <c r="C34" s="21" t="s">
        <v>86</v>
      </c>
      <c r="D34" s="22" t="s">
        <v>87</v>
      </c>
      <c r="E34" s="22" t="s">
        <v>88</v>
      </c>
      <c r="F34" s="23">
        <v>0.03</v>
      </c>
      <c r="G34" s="24">
        <v>1</v>
      </c>
      <c r="H34" s="25">
        <f>F34 * G34 * 8461.512</f>
        <v>253.84536</v>
      </c>
      <c r="I34" s="25">
        <f>F34 * G34 * 502.881795</f>
        <v>15.08645385</v>
      </c>
      <c r="J34" s="25">
        <f>F34 * G34 * 0</f>
        <v>0</v>
      </c>
      <c r="K34" s="25">
        <f>F34 * G34 * 8055.359424</f>
        <v>241.66078271999999</v>
      </c>
      <c r="L34" s="25">
        <f>F34 * G34 * 1974.121868</f>
        <v>59.223656039999995</v>
      </c>
      <c r="M34" s="25">
        <f>F34 * G34 * 1692.3024</f>
        <v>50.769072000000001</v>
      </c>
      <c r="N34" s="26">
        <f>SUM(H34:M34)</f>
        <v>620.58532461000004</v>
      </c>
    </row>
    <row r="35" spans="2:14" s="17" customFormat="1" ht="12.75">
      <c r="B35" s="18"/>
      <c r="C35" s="19" t="s">
        <v>89</v>
      </c>
      <c r="D35" s="36" t="s">
        <v>90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</row>
    <row r="36" spans="2:14" ht="25.5">
      <c r="B36" s="20">
        <v>13</v>
      </c>
      <c r="C36" s="21" t="s">
        <v>91</v>
      </c>
      <c r="D36" s="22" t="s">
        <v>92</v>
      </c>
      <c r="E36" s="22" t="s">
        <v>93</v>
      </c>
      <c r="F36" s="23">
        <v>0.2</v>
      </c>
      <c r="G36" s="24">
        <v>1</v>
      </c>
      <c r="H36" s="25">
        <f>F36 * G36 * 13548.864</f>
        <v>2709.7728000000002</v>
      </c>
      <c r="I36" s="25">
        <f>F36 * G36 * 0</f>
        <v>0</v>
      </c>
      <c r="J36" s="25">
        <f>F36 * G36 * 0</f>
        <v>0</v>
      </c>
      <c r="K36" s="25">
        <f>F36 * G36 * 12898.518528</f>
        <v>2579.7037056000004</v>
      </c>
      <c r="L36" s="25">
        <f>F36 * G36 * 3076.079887</f>
        <v>615.21597740000004</v>
      </c>
      <c r="M36" s="25">
        <f>F36 * G36 * 2709.7728</f>
        <v>541.95456000000001</v>
      </c>
      <c r="N36" s="26">
        <f>SUM(H36:M36)</f>
        <v>6446.6470430000008</v>
      </c>
    </row>
    <row r="37" spans="2:14" s="27" customFormat="1" ht="20.100000000000001" customHeight="1">
      <c r="B37" s="37" t="s">
        <v>94</v>
      </c>
      <c r="C37" s="37"/>
      <c r="D37" s="37"/>
      <c r="E37" s="37"/>
      <c r="F37" s="37"/>
      <c r="G37" s="37"/>
      <c r="H37" s="28">
        <f t="shared" ref="H37:N37" si="0">SUM(H4:H36)</f>
        <v>41421.953327279996</v>
      </c>
      <c r="I37" s="28">
        <f t="shared" si="0"/>
        <v>12902.364848969997</v>
      </c>
      <c r="J37" s="28">
        <f t="shared" si="0"/>
        <v>4.4564519999999996E-2</v>
      </c>
      <c r="K37" s="28">
        <f t="shared" si="0"/>
        <v>39433.699596649974</v>
      </c>
      <c r="L37" s="28">
        <f t="shared" si="0"/>
        <v>10765.478803689992</v>
      </c>
      <c r="M37" s="28">
        <f t="shared" si="0"/>
        <v>8284.3906654399998</v>
      </c>
      <c r="N37" s="29">
        <f t="shared" si="0"/>
        <v>112807.93180654998</v>
      </c>
    </row>
  </sheetData>
  <mergeCells count="24">
    <mergeCell ref="D31:N31"/>
    <mergeCell ref="D33:N33"/>
    <mergeCell ref="D35:N35"/>
    <mergeCell ref="B37:G37"/>
    <mergeCell ref="D23:N23"/>
    <mergeCell ref="D25:N25"/>
    <mergeCell ref="D27:N27"/>
    <mergeCell ref="D28:N28"/>
    <mergeCell ref="D29:N29"/>
    <mergeCell ref="D13:N13"/>
    <mergeCell ref="D15:N15"/>
    <mergeCell ref="D17:N17"/>
    <mergeCell ref="D19:N19"/>
    <mergeCell ref="D21:N21"/>
    <mergeCell ref="D7:N7"/>
    <mergeCell ref="D8:N8"/>
    <mergeCell ref="D9:N9"/>
    <mergeCell ref="D11:N11"/>
    <mergeCell ref="D12:N12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fitToHeight="0" orientation="landscape" horizontalDpi="4294967295" verticalDpi="4294967295"/>
  <headerFooter>
    <oddHeader>&amp;C&amp;KCCCCCC&amp;"Arial"Д. Ульянова 15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Д. Ульянова 15</dc:title>
  <dc:creator/>
  <cp:lastModifiedBy/>
  <cp:lastPrinted>2022-03-24T07:30:33Z</cp:lastPrinted>
  <dcterms:created xsi:type="dcterms:W3CDTF">2022-03-24T07:30:33Z</dcterms:created>
  <dcterms:modified xsi:type="dcterms:W3CDTF">2022-03-24T07:31:41Z</dcterms:modified>
</cp:coreProperties>
</file>