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J19" i="1"/>
  <c r="M46"/>
  <c r="L46"/>
  <c r="K46"/>
  <c r="J46"/>
  <c r="I46"/>
  <c r="H46"/>
  <c r="N46" s="1"/>
  <c r="M43"/>
  <c r="L43"/>
  <c r="K43"/>
  <c r="J43"/>
  <c r="I43"/>
  <c r="H43"/>
  <c r="N43" s="1"/>
  <c r="M41"/>
  <c r="L41"/>
  <c r="K41"/>
  <c r="J41"/>
  <c r="N41" s="1"/>
  <c r="I41"/>
  <c r="H41"/>
  <c r="M37"/>
  <c r="L37"/>
  <c r="K37"/>
  <c r="J37"/>
  <c r="N37" s="1"/>
  <c r="I37"/>
  <c r="H37"/>
  <c r="M34"/>
  <c r="L34"/>
  <c r="K34"/>
  <c r="J34"/>
  <c r="I34"/>
  <c r="H34"/>
  <c r="N34" s="1"/>
  <c r="M32"/>
  <c r="L32"/>
  <c r="K32"/>
  <c r="J32"/>
  <c r="I32"/>
  <c r="H32"/>
  <c r="N32" s="1"/>
  <c r="M30"/>
  <c r="L30"/>
  <c r="K30"/>
  <c r="J30"/>
  <c r="N30" s="1"/>
  <c r="I30"/>
  <c r="H30"/>
  <c r="M28"/>
  <c r="L28"/>
  <c r="K28"/>
  <c r="J28"/>
  <c r="N28" s="1"/>
  <c r="I28"/>
  <c r="H28"/>
  <c r="M26"/>
  <c r="L26"/>
  <c r="K26"/>
  <c r="J26"/>
  <c r="I26"/>
  <c r="H26"/>
  <c r="N26" s="1"/>
  <c r="M24"/>
  <c r="L24"/>
  <c r="K24"/>
  <c r="J24"/>
  <c r="I24"/>
  <c r="H24"/>
  <c r="N24" s="1"/>
  <c r="M22"/>
  <c r="L22"/>
  <c r="K22"/>
  <c r="J22"/>
  <c r="N22" s="1"/>
  <c r="I22"/>
  <c r="H22"/>
  <c r="M20"/>
  <c r="L20"/>
  <c r="K20"/>
  <c r="J20"/>
  <c r="N20" s="1"/>
  <c r="I20"/>
  <c r="H20"/>
  <c r="M19"/>
  <c r="L19"/>
  <c r="K19"/>
  <c r="I19"/>
  <c r="H19"/>
  <c r="N19" s="1"/>
  <c r="M18"/>
  <c r="L18"/>
  <c r="K18"/>
  <c r="J18"/>
  <c r="I18"/>
  <c r="H18"/>
  <c r="N18" s="1"/>
  <c r="M14"/>
  <c r="L14"/>
  <c r="K14"/>
  <c r="J14"/>
  <c r="N14" s="1"/>
  <c r="I14"/>
  <c r="H14"/>
  <c r="M13"/>
  <c r="L13"/>
  <c r="K13"/>
  <c r="J13"/>
  <c r="J47" s="1"/>
  <c r="I13"/>
  <c r="H13"/>
  <c r="M10"/>
  <c r="M47" s="1"/>
  <c r="L10"/>
  <c r="K10"/>
  <c r="J10"/>
  <c r="I10"/>
  <c r="I47" s="1"/>
  <c r="H10"/>
  <c r="N10" s="1"/>
  <c r="M6"/>
  <c r="L6"/>
  <c r="L47" s="1"/>
  <c r="K6"/>
  <c r="K47" s="1"/>
  <c r="J6"/>
  <c r="I6"/>
  <c r="H6"/>
  <c r="H47" s="1"/>
  <c r="N13" l="1"/>
  <c r="N6"/>
  <c r="N47" l="1"/>
</calcChain>
</file>

<file path=xl/sharedStrings.xml><?xml version="1.0" encoding="utf-8"?>
<sst xmlns="http://schemas.openxmlformats.org/spreadsheetml/2006/main" count="124" uniqueCount="118">
  <si>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</si>
  <si>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</si>
  <si>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</si>
  <si>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</si>
  <si>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</si>
  <si>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</si>
  <si>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</si>
  <si>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</si>
  <si>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</si>
  <si>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</si>
  <si>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</si>
  <si>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</si>
  <si>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</si>
  <si>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</si>
  <si>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Д.Ульянова 18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</si>
  <si>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</si>
  <si>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</si>
  <si>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</si>
  <si>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</si>
  <si>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</si>
  <si>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</si>
  <si>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</si>
  <si>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</si>
  <si>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</si>
  <si>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</si>
  <si>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1.8</t>
  </si>
  <si>
    <t>Крыши и кровли</t>
  </si>
  <si>
    <t>1.8.1</t>
  </si>
  <si>
    <t>Устранение протечек кровли</t>
  </si>
  <si>
    <t>1.8.1.1</t>
  </si>
  <si>
    <t>Устранение  протечек кровли из штучных материалов</t>
  </si>
  <si>
    <t>1.8.1.1.1</t>
  </si>
  <si>
    <t>Смена поврежденных листов асбоцементных кровель</t>
  </si>
  <si>
    <t>100 м2 сменяемого покрытия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</si>
  <si>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</si>
  <si>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</si>
  <si>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</si>
  <si>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</si>
  <si>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1.9.1.16</t>
  </si>
  <si>
    <t>Смена пружины</t>
  </si>
  <si>
    <t>1 пружина</t>
  </si>
  <si>
    <t>1.9.1.22</t>
  </si>
  <si>
    <t>Простая масляная окраска дверей</t>
  </si>
  <si>
    <t>100 кв.м.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</si>
  <si>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</si>
  <si>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</si>
  <si>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</si>
  <si>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</si>
  <si>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</si>
  <si>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</si>
  <si>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2.2.1.1.2</t>
  </si>
  <si>
    <t>Смена отдельных участков трубопроводов   водоснабжения из стальных водогазопроводных оцинкованных труб диаметром  20 мм</t>
  </si>
  <si>
    <t>100 м трубопроводов</t>
  </si>
  <si>
    <t>2.2.1.1.3</t>
  </si>
  <si>
    <t>Смена отдельных участков трубопроводов водоснабжения из стальных водогазопроводных оцинкованных труб диаметром  25 мм</t>
  </si>
  <si>
    <t>2.2.1.1.8</t>
  </si>
  <si>
    <t>Смена отдельных участков трубопроводов водоснабжения из стальных водогазопроводных оцинкованных труб диаметром 80 мм</t>
  </si>
  <si>
    <t>2.2.1.3</t>
  </si>
  <si>
    <t>Смена отдельных участков трубопроводов  водоснабжения из стальных электросварных труб</t>
  </si>
  <si>
    <t>2.2.1.3.5</t>
  </si>
  <si>
    <t>Смена отдельных участков трубопроводов водоснабжения из стальных электросварных труб диаметром 100 мм</t>
  </si>
  <si>
    <t>2.2.1.6</t>
  </si>
  <si>
    <t>Временная заделка свищей и трещин на внутренних трубопроводах и стояках</t>
  </si>
  <si>
    <t>2.2.1.6.3</t>
  </si>
  <si>
    <t>Временная заделка свищей и трещин на внутренних трубопроводах и стояках при диаметре трубопровода до 100 мм</t>
  </si>
  <si>
    <t>100 мест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</si>
  <si>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</si>
  <si>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</si>
  <si>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</si>
  <si>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</si>
  <si>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</si>
  <si>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</si>
  <si>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</si>
  <si>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</si>
  <si>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</si>
  <si>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</si>
  <si>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</si>
  <si>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</si>
  <si>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</si>
  <si>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</si>
  <si>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</si>
  <si>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</si>
  <si>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</si>
  <si>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</si>
  <si>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</si>
  <si>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2.3.10</t>
  </si>
  <si>
    <t>Прокладка внутренних трубопроводов канализации из полипропиленовых труб</t>
  </si>
  <si>
    <t>2.3.10.2</t>
  </si>
  <si>
    <t>Прокладка внутренних трубопроводов канализации из полипропиленовых труб диаметром 110 мм</t>
  </si>
  <si>
    <t>100 м трубопровода</t>
  </si>
  <si>
    <t>2.5</t>
  </si>
  <si>
    <t>Внутридомовое электро-, радио- и телеоборудование</t>
  </si>
  <si>
    <t>2.5.2</t>
  </si>
  <si>
    <t>Ремонт,  замена  аппаратуры  защиты,  контроля и   управления  общего  пользования</t>
  </si>
  <si>
    <t>2.5.2.5</t>
  </si>
  <si>
    <t>Замена автомата</t>
  </si>
  <si>
    <t>1 автомат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</si>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</sst>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abSelected="1" topLeftCell="E1" workbookViewId="0">
      <pane ySplit="1" topLeftCell="A32" activePane="bottomLeft" state="frozen"/>
      <selection pane="bottomLeft" activeCell="H6" sqref="H6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0.31</v>
      </c>
      <c r="G6" s="24">
        <v>1</v>
      </c>
      <c r="H6" s="25">
        <f>F6 * G6 * 1717.8024</f>
        <v>532.51874399999997</v>
      </c>
      <c r="I6" s="25">
        <f>F6 * G6 * 2684.13</f>
        <v>832.08030000000008</v>
      </c>
      <c r="J6" s="25">
        <f>F6 * G6 * 0</f>
        <v>0</v>
      </c>
      <c r="K6" s="25">
        <f>F6 * G6 * 1635.347885</f>
        <v>506.95784434999996</v>
      </c>
      <c r="L6" s="25">
        <f>F6 * G6 * 673.178701</f>
        <v>208.68539731000001</v>
      </c>
      <c r="M6" s="25">
        <f>F6 * G6 * 343.56048</f>
        <v>106.5037488</v>
      </c>
      <c r="N6" s="26">
        <f>SUM(H6:M6)</f>
        <v>2186.7460344599999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0.15</v>
      </c>
      <c r="G10" s="24">
        <v>1</v>
      </c>
      <c r="H10" s="25">
        <f>F10 * G10 * 11350.458</f>
        <v>1702.5687</v>
      </c>
      <c r="I10" s="25">
        <f>F10 * G10 * 25973.943342</f>
        <v>3896.0915012999994</v>
      </c>
      <c r="J10" s="25">
        <f>F10 * G10 * 0</f>
        <v>0</v>
      </c>
      <c r="K10" s="25">
        <f>F10 * G10 * 10805.636016</f>
        <v>1620.8454024</v>
      </c>
      <c r="L10" s="25">
        <f>F10 * G10 * 5317.213605</f>
        <v>797.58204074999992</v>
      </c>
      <c r="M10" s="25">
        <f>F10 * G10 * 2270.0916</f>
        <v>340.51374000000004</v>
      </c>
      <c r="N10" s="26">
        <f>SUM(H10:M10)</f>
        <v>8357.6013844499994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>
      <c r="B13" s="20">
        <v>3</v>
      </c>
      <c r="C13" s="21" t="s">
        <v>38</v>
      </c>
      <c r="D13" s="22" t="s">
        <v>39</v>
      </c>
      <c r="E13" s="22" t="s">
        <v>40</v>
      </c>
      <c r="F13" s="23">
        <v>1</v>
      </c>
      <c r="G13" s="24">
        <v>1</v>
      </c>
      <c r="H13" s="25">
        <f>F13 * G13 * 128.28744</f>
        <v>128.28744</v>
      </c>
      <c r="I13" s="25">
        <f>F13 * G13 * 58.160426</f>
        <v>58.160426000000001</v>
      </c>
      <c r="J13" s="25">
        <f>F13 * G13 * 0</f>
        <v>0</v>
      </c>
      <c r="K13" s="25">
        <f>F13 * G13 * 122.129643</f>
        <v>122.129643</v>
      </c>
      <c r="L13" s="25">
        <f>F13 * G13 * 35.261792</f>
        <v>35.261792</v>
      </c>
      <c r="M13" s="25">
        <f>F13 * G13 * 25.657488</f>
        <v>25.657488000000001</v>
      </c>
      <c r="N13" s="26">
        <f>SUM(H13:M13)</f>
        <v>369.49678900000004</v>
      </c>
    </row>
    <row r="14" spans="1:14">
      <c r="B14" s="20">
        <v>4</v>
      </c>
      <c r="C14" s="21" t="s">
        <v>41</v>
      </c>
      <c r="D14" s="22" t="s">
        <v>42</v>
      </c>
      <c r="E14" s="22" t="s">
        <v>43</v>
      </c>
      <c r="F14" s="23">
        <v>0.12</v>
      </c>
      <c r="G14" s="24">
        <v>1</v>
      </c>
      <c r="H14" s="25">
        <f>F14 * G14 * 7314</f>
        <v>877.68</v>
      </c>
      <c r="I14" s="25">
        <f>F14 * G14 * 2986.115776</f>
        <v>358.33389311999997</v>
      </c>
      <c r="J14" s="25">
        <f>F14 * G14 * 0</f>
        <v>0</v>
      </c>
      <c r="K14" s="25">
        <f>F14 * G14 * 6962.928</f>
        <v>835.55135999999993</v>
      </c>
      <c r="L14" s="25">
        <f>F14 * G14 * 1975.57651799999</f>
        <v>237.0691821599988</v>
      </c>
      <c r="M14" s="25">
        <f>F14 * G14 * 1462.8</f>
        <v>175.536</v>
      </c>
      <c r="N14" s="26">
        <f>SUM(H14:M14)</f>
        <v>2484.1704352799989</v>
      </c>
    </row>
    <row r="15" spans="1:14" s="14" customFormat="1" ht="15">
      <c r="B15" s="15"/>
      <c r="C15" s="16" t="s">
        <v>44</v>
      </c>
      <c r="D15" s="33" t="s">
        <v>45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s="17" customFormat="1" ht="12.75">
      <c r="B16" s="18"/>
      <c r="C16" s="19" t="s">
        <v>46</v>
      </c>
      <c r="D16" s="34" t="s">
        <v>47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4" s="17" customFormat="1" ht="12.75">
      <c r="B17" s="18"/>
      <c r="C17" s="19" t="s">
        <v>48</v>
      </c>
      <c r="D17" s="35" t="s">
        <v>49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2:14" ht="38.25">
      <c r="B18" s="20">
        <v>5</v>
      </c>
      <c r="C18" s="21" t="s">
        <v>50</v>
      </c>
      <c r="D18" s="22" t="s">
        <v>51</v>
      </c>
      <c r="E18" s="22" t="s">
        <v>52</v>
      </c>
      <c r="F18" s="23">
        <v>0.1</v>
      </c>
      <c r="G18" s="24">
        <v>1</v>
      </c>
      <c r="H18" s="25">
        <f>F18 * G18 * 21229.8414</f>
        <v>2122.98414</v>
      </c>
      <c r="I18" s="25">
        <f>F18 * G18 * 16269.558656</f>
        <v>1626.9558655999999</v>
      </c>
      <c r="J18" s="25">
        <f>F18 * G18 * 0</f>
        <v>0</v>
      </c>
      <c r="K18" s="25">
        <f>F18 * G18 * 20210.809013</f>
        <v>2021.0809012999998</v>
      </c>
      <c r="L18" s="25">
        <f>F18 * G18 * 6536.376711</f>
        <v>653.63767110000003</v>
      </c>
      <c r="M18" s="25">
        <f>F18 * G18 * 4245.96828</f>
        <v>424.59682800000002</v>
      </c>
      <c r="N18" s="26">
        <f>SUM(H18:M18)</f>
        <v>6849.2554059999993</v>
      </c>
    </row>
    <row r="19" spans="2:14" ht="38.25">
      <c r="B19" s="20">
        <v>6</v>
      </c>
      <c r="C19" s="21" t="s">
        <v>53</v>
      </c>
      <c r="D19" s="22" t="s">
        <v>54</v>
      </c>
      <c r="E19" s="22" t="s">
        <v>52</v>
      </c>
      <c r="F19" s="23">
        <v>0.03</v>
      </c>
      <c r="G19" s="24">
        <v>1</v>
      </c>
      <c r="H19" s="25">
        <f>F19 * G19 * 23436.85518</f>
        <v>703.10565539999993</v>
      </c>
      <c r="I19" s="25">
        <f>F19 * G19 * 22138.102136</f>
        <v>664.14306408000004</v>
      </c>
      <c r="J19" s="25">
        <f>F19*G19</f>
        <v>0.03</v>
      </c>
      <c r="K19" s="25">
        <f>F19 * G19 * 22311.886131</f>
        <v>669.35658392999994</v>
      </c>
      <c r="L19" s="25">
        <f>F19 * G19 * 7656.57962799999</f>
        <v>229.69738883999972</v>
      </c>
      <c r="M19" s="25">
        <f>F19 * G19 * 4687.371036</f>
        <v>140.62113107999997</v>
      </c>
      <c r="N19" s="26">
        <f>SUM(H19:M19)</f>
        <v>2406.9538233299995</v>
      </c>
    </row>
    <row r="20" spans="2:14" ht="38.25">
      <c r="B20" s="20">
        <v>7</v>
      </c>
      <c r="C20" s="21" t="s">
        <v>55</v>
      </c>
      <c r="D20" s="22" t="s">
        <v>56</v>
      </c>
      <c r="E20" s="22" t="s">
        <v>52</v>
      </c>
      <c r="F20" s="23">
        <v>0.01</v>
      </c>
      <c r="G20" s="24">
        <v>1</v>
      </c>
      <c r="H20" s="25">
        <f>F20 * G20 * 43201.1208</f>
        <v>432.01120799999995</v>
      </c>
      <c r="I20" s="25">
        <f>F20 * G20 * 69622.716171</f>
        <v>696.2271617099999</v>
      </c>
      <c r="J20" s="25">
        <f>F20 * G20 * 0</f>
        <v>0</v>
      </c>
      <c r="K20" s="25">
        <f>F20 * G20 * 41127.467002</f>
        <v>411.27467001999997</v>
      </c>
      <c r="L20" s="25">
        <f>F20 * G20 * 17153.406218</f>
        <v>171.53406218000001</v>
      </c>
      <c r="M20" s="25">
        <f>F20 * G20 * 8640.22416</f>
        <v>86.402241599999996</v>
      </c>
      <c r="N20" s="26">
        <f>SUM(H20:M20)</f>
        <v>1797.4493435100001</v>
      </c>
    </row>
    <row r="21" spans="2:14" s="17" customFormat="1" ht="12.75">
      <c r="B21" s="18"/>
      <c r="C21" s="19" t="s">
        <v>57</v>
      </c>
      <c r="D21" s="35" t="s">
        <v>58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5.5">
      <c r="B22" s="20">
        <v>8</v>
      </c>
      <c r="C22" s="21" t="s">
        <v>59</v>
      </c>
      <c r="D22" s="22" t="s">
        <v>60</v>
      </c>
      <c r="E22" s="22" t="s">
        <v>52</v>
      </c>
      <c r="F22" s="23">
        <v>0.02</v>
      </c>
      <c r="G22" s="24">
        <v>1</v>
      </c>
      <c r="H22" s="25">
        <f>F22 * G22 * 38129.68488</f>
        <v>762.59369760000004</v>
      </c>
      <c r="I22" s="25">
        <f>F22 * G22 * 80583.806038</f>
        <v>1611.67612076</v>
      </c>
      <c r="J22" s="25">
        <f>F22 * G22 * 0</f>
        <v>0</v>
      </c>
      <c r="K22" s="25">
        <f>F22 * G22 * 36299.4600059999</f>
        <v>725.98920011999803</v>
      </c>
      <c r="L22" s="25">
        <f>F22 * G22 * 17158.402673</f>
        <v>343.16805346000001</v>
      </c>
      <c r="M22" s="25">
        <f>F22 * G22 * 7625.936976</f>
        <v>152.51873952</v>
      </c>
      <c r="N22" s="26">
        <f>SUM(H22:M22)</f>
        <v>3595.9458114599984</v>
      </c>
    </row>
    <row r="23" spans="2:14" s="17" customFormat="1" ht="12.75">
      <c r="B23" s="18"/>
      <c r="C23" s="19" t="s">
        <v>61</v>
      </c>
      <c r="D23" s="35" t="s">
        <v>62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2:14" ht="38.25">
      <c r="B24" s="20">
        <v>9</v>
      </c>
      <c r="C24" s="21" t="s">
        <v>63</v>
      </c>
      <c r="D24" s="22" t="s">
        <v>64</v>
      </c>
      <c r="E24" s="22" t="s">
        <v>65</v>
      </c>
      <c r="F24" s="23">
        <v>0.02</v>
      </c>
      <c r="G24" s="24">
        <v>1</v>
      </c>
      <c r="H24" s="25">
        <f>F24 * G24 * 12823.032</f>
        <v>256.46064000000001</v>
      </c>
      <c r="I24" s="25">
        <f>F24 * G24 * 32848.688063</f>
        <v>656.97376126000006</v>
      </c>
      <c r="J24" s="25">
        <f>F24 * G24 * 0</f>
        <v>0</v>
      </c>
      <c r="K24" s="25">
        <f>F24 * G24 * 12207.5264639999</f>
        <v>244.15052927999801</v>
      </c>
      <c r="L24" s="25">
        <f>F24 * G24 * 6376.826484</f>
        <v>127.53652968</v>
      </c>
      <c r="M24" s="25">
        <f>F24 * G24 * 2564.6064</f>
        <v>51.292128000000005</v>
      </c>
      <c r="N24" s="26">
        <f>SUM(H24:M24)</f>
        <v>1336.4135882199982</v>
      </c>
    </row>
    <row r="25" spans="2:14" s="17" customFormat="1" ht="12.75">
      <c r="B25" s="18"/>
      <c r="C25" s="19" t="s">
        <v>66</v>
      </c>
      <c r="D25" s="35" t="s">
        <v>67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2:14">
      <c r="B26" s="20">
        <v>10</v>
      </c>
      <c r="C26" s="21" t="s">
        <v>68</v>
      </c>
      <c r="D26" s="22" t="s">
        <v>69</v>
      </c>
      <c r="E26" s="22" t="s">
        <v>70</v>
      </c>
      <c r="F26" s="23">
        <v>0.05</v>
      </c>
      <c r="G26" s="24">
        <v>1</v>
      </c>
      <c r="H26" s="25">
        <f>F26 * G26 * 7833.7224</f>
        <v>391.68612000000002</v>
      </c>
      <c r="I26" s="25">
        <f>F26 * G26 * 4906.963041</f>
        <v>245.34815205000001</v>
      </c>
      <c r="J26" s="25">
        <f>F26 * G26 * 0</f>
        <v>0</v>
      </c>
      <c r="K26" s="25">
        <f>F26 * G26 * 7457.703725</f>
        <v>372.88518625000006</v>
      </c>
      <c r="L26" s="25">
        <f>F26 * G26 * 2296.221599</f>
        <v>114.81107995000001</v>
      </c>
      <c r="M26" s="25">
        <f>F26 * G26 * 1566.74448</f>
        <v>78.337224000000006</v>
      </c>
      <c r="N26" s="26">
        <f>SUM(H26:M26)</f>
        <v>1203.0677622500002</v>
      </c>
    </row>
    <row r="27" spans="2:14" s="17" customFormat="1" ht="12.75">
      <c r="B27" s="18"/>
      <c r="C27" s="19" t="s">
        <v>71</v>
      </c>
      <c r="D27" s="35" t="s">
        <v>72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2:14" ht="38.25">
      <c r="B28" s="20">
        <v>11</v>
      </c>
      <c r="C28" s="21" t="s">
        <v>73</v>
      </c>
      <c r="D28" s="22" t="s">
        <v>74</v>
      </c>
      <c r="E28" s="22" t="s">
        <v>75</v>
      </c>
      <c r="F28" s="23">
        <v>5</v>
      </c>
      <c r="G28" s="24">
        <v>1</v>
      </c>
      <c r="H28" s="25">
        <f>F28 * G28 * 31.45272</f>
        <v>157.2636</v>
      </c>
      <c r="I28" s="25">
        <f>F28 * G28 * 3.168864</f>
        <v>15.84432</v>
      </c>
      <c r="J28" s="25">
        <f>F28 * G28 * 0</f>
        <v>0</v>
      </c>
      <c r="K28" s="25">
        <f>F28 * G28 * 29.942989</f>
        <v>149.714945</v>
      </c>
      <c r="L28" s="25">
        <f>F28 * G28 * 7.47521499999999</f>
        <v>37.37607499999995</v>
      </c>
      <c r="M28" s="25">
        <f>F28 * G28 * 6.290544</f>
        <v>31.452719999999999</v>
      </c>
      <c r="N28" s="26">
        <f>SUM(H28:M28)</f>
        <v>391.65165999999994</v>
      </c>
    </row>
    <row r="29" spans="2:14" s="17" customFormat="1" ht="12.75">
      <c r="B29" s="18"/>
      <c r="C29" s="19" t="s">
        <v>76</v>
      </c>
      <c r="D29" s="34" t="s">
        <v>77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2:14" ht="25.5">
      <c r="B30" s="20">
        <v>12</v>
      </c>
      <c r="C30" s="21" t="s">
        <v>78</v>
      </c>
      <c r="D30" s="22" t="s">
        <v>79</v>
      </c>
      <c r="E30" s="22" t="s">
        <v>24</v>
      </c>
      <c r="F30" s="23">
        <v>7.0000000000000007E-2</v>
      </c>
      <c r="G30" s="24">
        <v>1</v>
      </c>
      <c r="H30" s="25">
        <f>F30 * G30 * 20853.288</f>
        <v>1459.7301600000001</v>
      </c>
      <c r="I30" s="25">
        <f>F30 * G30 * 14281.888527</f>
        <v>999.73219689000007</v>
      </c>
      <c r="J30" s="25">
        <f>F30 * G30 * 0</f>
        <v>0</v>
      </c>
      <c r="K30" s="25">
        <f>F30 * G30 * 19852.330176</f>
        <v>1389.6631123200002</v>
      </c>
      <c r="L30" s="25">
        <f>F30 * G30 * 6241.186334</f>
        <v>436.88304338000006</v>
      </c>
      <c r="M30" s="25">
        <f>F30 * G30 * 4170.6576</f>
        <v>291.946032</v>
      </c>
      <c r="N30" s="26">
        <f>SUM(H30:M30)</f>
        <v>4577.9545445900003</v>
      </c>
    </row>
    <row r="31" spans="2:14" s="14" customFormat="1" ht="15">
      <c r="B31" s="15"/>
      <c r="C31" s="16" t="s">
        <v>80</v>
      </c>
      <c r="D31" s="33" t="s">
        <v>81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2:14" ht="25.5">
      <c r="B32" s="20">
        <v>13</v>
      </c>
      <c r="C32" s="21" t="s">
        <v>82</v>
      </c>
      <c r="D32" s="22" t="s">
        <v>83</v>
      </c>
      <c r="E32" s="22" t="s">
        <v>84</v>
      </c>
      <c r="F32" s="23">
        <v>0.9</v>
      </c>
      <c r="G32" s="24">
        <v>1</v>
      </c>
      <c r="H32" s="25">
        <f>F32 * G32 * 2443.6344</f>
        <v>2199.2709599999998</v>
      </c>
      <c r="I32" s="25">
        <f>F32 * G32 * 600.324723</f>
        <v>540.29225069999995</v>
      </c>
      <c r="J32" s="25">
        <f>F32 * G32 * 0</f>
        <v>0</v>
      </c>
      <c r="K32" s="25">
        <f>F32 * G32 * 2326.339949</f>
        <v>2093.7059541000003</v>
      </c>
      <c r="L32" s="25">
        <f>F32 * G32 * 618.127237999999</f>
        <v>556.31451419999917</v>
      </c>
      <c r="M32" s="25">
        <f>F32 * G32 * 488.72688</f>
        <v>439.85419200000001</v>
      </c>
      <c r="N32" s="26">
        <f>SUM(H32:M32)</f>
        <v>5829.4378709999992</v>
      </c>
    </row>
    <row r="33" spans="2:14" s="17" customFormat="1" ht="12.75">
      <c r="B33" s="18"/>
      <c r="C33" s="19" t="s">
        <v>85</v>
      </c>
      <c r="D33" s="34" t="s">
        <v>86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spans="2:14" ht="25.5">
      <c r="B34" s="20">
        <v>14</v>
      </c>
      <c r="C34" s="21" t="s">
        <v>87</v>
      </c>
      <c r="D34" s="22" t="s">
        <v>88</v>
      </c>
      <c r="E34" s="22" t="s">
        <v>89</v>
      </c>
      <c r="F34" s="23">
        <v>0.06</v>
      </c>
      <c r="G34" s="24">
        <v>1</v>
      </c>
      <c r="H34" s="25">
        <f>F34 * G34 * 14892.674832</f>
        <v>893.56048992000001</v>
      </c>
      <c r="I34" s="25">
        <f>F34 * G34 * 24214.966772</f>
        <v>1452.8980063199999</v>
      </c>
      <c r="J34" s="25">
        <f>F34 * G34 * 1.114113</f>
        <v>6.6846779999999995E-2</v>
      </c>
      <c r="K34" s="25">
        <f>F34 * G34 * 14177.82644</f>
        <v>850.66958639999996</v>
      </c>
      <c r="L34" s="25">
        <f>F34 * G34 * 5935.969857</f>
        <v>356.15819141999998</v>
      </c>
      <c r="M34" s="25">
        <f>F34 * G34 * 2978.534966</f>
        <v>178.71209795999999</v>
      </c>
      <c r="N34" s="26">
        <f>SUM(H34:M34)</f>
        <v>3732.0652187999999</v>
      </c>
    </row>
    <row r="35" spans="2:14" s="14" customFormat="1" ht="15">
      <c r="B35" s="15"/>
      <c r="C35" s="16" t="s">
        <v>90</v>
      </c>
      <c r="D35" s="33" t="s">
        <v>91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2:14" s="17" customFormat="1" ht="12.75">
      <c r="B36" s="18"/>
      <c r="C36" s="19" t="s">
        <v>92</v>
      </c>
      <c r="D36" s="34" t="s">
        <v>93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</row>
    <row r="37" spans="2:14">
      <c r="B37" s="20">
        <v>15</v>
      </c>
      <c r="C37" s="21" t="s">
        <v>94</v>
      </c>
      <c r="D37" s="22" t="s">
        <v>95</v>
      </c>
      <c r="E37" s="22" t="s">
        <v>96</v>
      </c>
      <c r="F37" s="23">
        <v>1</v>
      </c>
      <c r="G37" s="24">
        <v>1</v>
      </c>
      <c r="H37" s="25">
        <f>F37 * G37 * 289.32912</f>
        <v>289.32911999999999</v>
      </c>
      <c r="I37" s="25">
        <f>F37 * G37 * 1230.9054</f>
        <v>1230.9054000000001</v>
      </c>
      <c r="J37" s="25">
        <f>F37 * G37 * 0</f>
        <v>0</v>
      </c>
      <c r="K37" s="25">
        <f>F37 * G37 * 275.441322</f>
        <v>275.44132200000001</v>
      </c>
      <c r="L37" s="25">
        <f>F37 * G37 * 195.548645</f>
        <v>195.54864499999999</v>
      </c>
      <c r="M37" s="25">
        <f>F37 * G37 * 57.865824</f>
        <v>57.865824000000003</v>
      </c>
      <c r="N37" s="26">
        <f>SUM(H37:M37)</f>
        <v>2049.0903110000004</v>
      </c>
    </row>
    <row r="38" spans="2:14" s="14" customFormat="1" ht="15">
      <c r="B38" s="15"/>
      <c r="C38" s="16" t="s">
        <v>97</v>
      </c>
      <c r="D38" s="33" t="s">
        <v>98</v>
      </c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2:14" s="17" customFormat="1" ht="12.75">
      <c r="B39" s="18"/>
      <c r="C39" s="19" t="s">
        <v>99</v>
      </c>
      <c r="D39" s="34" t="s">
        <v>100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0" spans="2:14" s="17" customFormat="1" ht="12.75">
      <c r="B40" s="18"/>
      <c r="C40" s="19" t="s">
        <v>101</v>
      </c>
      <c r="D40" s="35" t="s">
        <v>102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2:14" ht="25.5">
      <c r="B41" s="20">
        <v>16</v>
      </c>
      <c r="C41" s="21" t="s">
        <v>103</v>
      </c>
      <c r="D41" s="22" t="s">
        <v>104</v>
      </c>
      <c r="E41" s="22" t="s">
        <v>89</v>
      </c>
      <c r="F41" s="23">
        <v>28.8</v>
      </c>
      <c r="G41" s="24">
        <v>1</v>
      </c>
      <c r="H41" s="25">
        <f>F41 * G41 * 950.793</f>
        <v>27382.838400000001</v>
      </c>
      <c r="I41" s="25">
        <f>F41 * G41 * 7.170829</f>
        <v>206.5198752</v>
      </c>
      <c r="J41" s="25">
        <f>F41 * G41 * 0</f>
        <v>0</v>
      </c>
      <c r="K41" s="25">
        <f>F41 * G41 * 905.154935999999</f>
        <v>26068.462156799971</v>
      </c>
      <c r="L41" s="25">
        <f>F41 * G41 * 216.620762</f>
        <v>6238.6779456000004</v>
      </c>
      <c r="M41" s="25">
        <f>F41 * G41 * 190.1586</f>
        <v>5476.5676800000001</v>
      </c>
      <c r="N41" s="26">
        <f>SUM(H41:M41)</f>
        <v>65373.066057599972</v>
      </c>
    </row>
    <row r="42" spans="2:14" s="17" customFormat="1" ht="12.75">
      <c r="B42" s="18"/>
      <c r="C42" s="19" t="s">
        <v>105</v>
      </c>
      <c r="D42" s="35" t="s">
        <v>106</v>
      </c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spans="2:14" ht="25.5">
      <c r="B43" s="20">
        <v>17</v>
      </c>
      <c r="C43" s="21" t="s">
        <v>107</v>
      </c>
      <c r="D43" s="22" t="s">
        <v>108</v>
      </c>
      <c r="E43" s="22" t="s">
        <v>109</v>
      </c>
      <c r="F43" s="23">
        <v>86.4</v>
      </c>
      <c r="G43" s="24">
        <v>1</v>
      </c>
      <c r="H43" s="25">
        <f>F43 * G43 * 223.97976</f>
        <v>19351.851264000001</v>
      </c>
      <c r="I43" s="25">
        <f>F43 * G43 * 0</f>
        <v>0</v>
      </c>
      <c r="J43" s="25">
        <f>F43 * G43 * 0</f>
        <v>0</v>
      </c>
      <c r="K43" s="25">
        <f>F43 * G43 * 213.228732</f>
        <v>18422.962444800003</v>
      </c>
      <c r="L43" s="25">
        <f>F43 * G43 * 50.8514689999999</f>
        <v>4393.5669215999915</v>
      </c>
      <c r="M43" s="25">
        <f>F43 * G43 * 44.795952</f>
        <v>3870.3702528000003</v>
      </c>
      <c r="N43" s="26">
        <f>SUM(H43:M43)</f>
        <v>46038.750883200002</v>
      </c>
    </row>
    <row r="44" spans="2:14" s="17" customFormat="1" ht="12.75">
      <c r="B44" s="18"/>
      <c r="C44" s="19" t="s">
        <v>110</v>
      </c>
      <c r="D44" s="35" t="s">
        <v>111</v>
      </c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2:14" s="17" customFormat="1" ht="12.75">
      <c r="B45" s="18"/>
      <c r="C45" s="19" t="s">
        <v>112</v>
      </c>
      <c r="D45" s="36" t="s">
        <v>113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</row>
    <row r="46" spans="2:14" ht="25.5">
      <c r="B46" s="20">
        <v>18</v>
      </c>
      <c r="C46" s="21" t="s">
        <v>114</v>
      </c>
      <c r="D46" s="22" t="s">
        <v>115</v>
      </c>
      <c r="E46" s="22" t="s">
        <v>116</v>
      </c>
      <c r="F46" s="23">
        <v>7.0000000000000007E-2</v>
      </c>
      <c r="G46" s="24">
        <v>1</v>
      </c>
      <c r="H46" s="25">
        <f>F46 * G46 * 13548.864</f>
        <v>948.42048000000011</v>
      </c>
      <c r="I46" s="25">
        <f>F46 * G46 * 0</f>
        <v>0</v>
      </c>
      <c r="J46" s="25">
        <f>F46 * G46 * 0</f>
        <v>0</v>
      </c>
      <c r="K46" s="25">
        <f>F46 * G46 * 12898.518528</f>
        <v>902.89629696000009</v>
      </c>
      <c r="L46" s="25">
        <f>F46 * G46 * 3076.079887</f>
        <v>215.32559209000001</v>
      </c>
      <c r="M46" s="25">
        <f>F46 * G46 * 2709.7728</f>
        <v>189.68409600000004</v>
      </c>
      <c r="N46" s="26">
        <f>SUM(H46:M46)</f>
        <v>2256.32646505</v>
      </c>
    </row>
    <row r="47" spans="2:14" s="27" customFormat="1" ht="20.100000000000001" customHeight="1">
      <c r="B47" s="37" t="s">
        <v>117</v>
      </c>
      <c r="C47" s="37"/>
      <c r="D47" s="37"/>
      <c r="E47" s="37"/>
      <c r="F47" s="37"/>
      <c r="G47" s="37"/>
      <c r="H47" s="28">
        <f t="shared" ref="H47:N47" si="0">SUM(H4:H46)</f>
        <v>60592.160818920005</v>
      </c>
      <c r="I47" s="28">
        <f t="shared" si="0"/>
        <v>15092.182294989998</v>
      </c>
      <c r="J47" s="28">
        <f t="shared" si="0"/>
        <v>9.6846779999999993E-2</v>
      </c>
      <c r="K47" s="28">
        <f t="shared" si="0"/>
        <v>57683.737139029974</v>
      </c>
      <c r="L47" s="28">
        <f t="shared" si="0"/>
        <v>15348.834125719988</v>
      </c>
      <c r="M47" s="28">
        <f t="shared" si="0"/>
        <v>12118.432163760001</v>
      </c>
      <c r="N47" s="29">
        <f t="shared" si="0"/>
        <v>160835.44338919997</v>
      </c>
    </row>
  </sheetData>
  <mergeCells count="29">
    <mergeCell ref="D42:N42"/>
    <mergeCell ref="D44:N44"/>
    <mergeCell ref="D45:N45"/>
    <mergeCell ref="B47:G47"/>
    <mergeCell ref="D35:N35"/>
    <mergeCell ref="D36:N36"/>
    <mergeCell ref="D38:N38"/>
    <mergeCell ref="D39:N39"/>
    <mergeCell ref="D40:N40"/>
    <mergeCell ref="D25:N25"/>
    <mergeCell ref="D27:N27"/>
    <mergeCell ref="D29:N29"/>
    <mergeCell ref="D31:N31"/>
    <mergeCell ref="D33:N33"/>
    <mergeCell ref="D15:N15"/>
    <mergeCell ref="D16:N16"/>
    <mergeCell ref="D17:N17"/>
    <mergeCell ref="D21:N21"/>
    <mergeCell ref="D23:N23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&amp;C&amp;KCCCCCC&amp;"Arial"Д.Ульянова 18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Д.Ульянова 18</dc:title>
  <dc:creator/>
  <cp:lastModifiedBy/>
  <cp:lastPrinted>2022-03-22T09:04:03Z</cp:lastPrinted>
  <dcterms:created xsi:type="dcterms:W3CDTF">2022-03-22T09:04:03Z</dcterms:created>
  <dcterms:modified xsi:type="dcterms:W3CDTF">2022-03-22T09:05:25Z</dcterms:modified>
</cp:coreProperties>
</file>