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1080" yWindow="1380" windowWidth="19095" windowHeight="651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3" i="1"/>
  <c r="L33"/>
  <c r="K33"/>
  <c r="J33"/>
  <c r="I33"/>
  <c r="H33"/>
  <c r="N33" s="1"/>
  <c r="M31"/>
  <c r="L31"/>
  <c r="K31"/>
  <c r="J31"/>
  <c r="N31" s="1"/>
  <c r="I31"/>
  <c r="H31"/>
  <c r="M27"/>
  <c r="L27"/>
  <c r="K27"/>
  <c r="J27"/>
  <c r="N27" s="1"/>
  <c r="I27"/>
  <c r="H27"/>
  <c r="M25"/>
  <c r="L25"/>
  <c r="K25"/>
  <c r="J25"/>
  <c r="I25"/>
  <c r="H25"/>
  <c r="N25" s="1"/>
  <c r="M22"/>
  <c r="L22"/>
  <c r="K22"/>
  <c r="J22"/>
  <c r="I22"/>
  <c r="H22"/>
  <c r="N22" s="1"/>
  <c r="M19"/>
  <c r="L19"/>
  <c r="K19"/>
  <c r="J19"/>
  <c r="N19" s="1"/>
  <c r="I19"/>
  <c r="H19"/>
  <c r="M17"/>
  <c r="L17"/>
  <c r="K17"/>
  <c r="J17"/>
  <c r="N17" s="1"/>
  <c r="I17"/>
  <c r="H17"/>
  <c r="M14"/>
  <c r="L14"/>
  <c r="K14"/>
  <c r="J14"/>
  <c r="I14"/>
  <c r="H14"/>
  <c r="N14" s="1"/>
  <c r="M13"/>
  <c r="L13"/>
  <c r="K13"/>
  <c r="J13"/>
  <c r="I13"/>
  <c r="H13"/>
  <c r="N13" s="1"/>
  <c r="M12"/>
  <c r="L12"/>
  <c r="K12"/>
  <c r="J12"/>
  <c r="N12" s="1"/>
  <c r="I12"/>
  <c r="H12"/>
  <c r="M10"/>
  <c r="L10"/>
  <c r="K10"/>
  <c r="J10"/>
  <c r="N10" s="1"/>
  <c r="I10"/>
  <c r="H10"/>
  <c r="M8"/>
  <c r="M34" s="1"/>
  <c r="L8"/>
  <c r="K8"/>
  <c r="J8"/>
  <c r="I8"/>
  <c r="I34" s="1"/>
  <c r="H8"/>
  <c r="N8" s="1"/>
  <c r="M7"/>
  <c r="L7"/>
  <c r="L34" s="1"/>
  <c r="K7"/>
  <c r="K34" s="1"/>
  <c r="J7"/>
  <c r="J34" s="1"/>
  <c r="I7"/>
  <c r="H7"/>
  <c r="N7" s="1"/>
  <c r="N34" l="1"/>
  <c r="H34"/>
</calcChain>
</file>

<file path=xl/sharedStrings.xml><?xml version="1.0" encoding="utf-8"?>
<sst xmlns="http://schemas.openxmlformats.org/spreadsheetml/2006/main" count="93" uniqueCount="88">
  <si>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</si>
  <si>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</si>
  <si>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</si>
  <si>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</si>
  <si>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</si>
  <si>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</si>
  <si>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</si>
  <si>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</si>
  <si>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</si>
  <si>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</si>
  <si>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</si>
  <si>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</si>
  <si>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</si>
  <si>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</si>
  <si>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 Ульянова 22</t>
  </si>
  <si>
    <t>Дата изменения:</t>
  </si>
  <si>
    <t>22.03.2022</t>
  </si>
  <si>
    <t>Общая площадь, кв.м:</t>
  </si>
  <si>
    <t>1.2</t>
  </si>
  <si>
    <t>Кирпичные, каменные и железобетонные стены</t>
  </si>
  <si>
    <t>1.2.17</t>
  </si>
  <si>
    <t>Окраска стен  помещений  общего  пользования</t>
  </si>
  <si>
    <t>1.2.17.1</t>
  </si>
  <si>
    <t>Клеевая окраска стен</t>
  </si>
  <si>
    <t>1.2.17.1.1</t>
  </si>
  <si>
    <t>Простая клеевая окраска стен</t>
  </si>
  <si>
    <t>100 м2 окрашенной поверхности</t>
  </si>
  <si>
    <t>1.2.17.2</t>
  </si>
  <si>
    <t>Известковая окраска ранее окрашенных поверхностей стен</t>
  </si>
  <si>
    <t>1.2.17.3</t>
  </si>
  <si>
    <t>Масляная окраска ранее окрашенных поверхностей</t>
  </si>
  <si>
    <t>1.2.17.3.1</t>
  </si>
  <si>
    <t>Простая масляная окраска ранее окрашенных поверхностей</t>
  </si>
  <si>
    <t>1.2.18</t>
  </si>
  <si>
    <t>Внутренняя отделка зданий</t>
  </si>
  <si>
    <t>1.2.18.1</t>
  </si>
  <si>
    <t>Ремонт внутренней штукатурки потолков отдельными местами</t>
  </si>
  <si>
    <t>100 кв. м</t>
  </si>
  <si>
    <t>1.2.18.6</t>
  </si>
  <si>
    <t>Известковая окраска ранее окрашенных поверхностей потолков</t>
  </si>
  <si>
    <t>100 кв.м</t>
  </si>
  <si>
    <t>1.2.18.12</t>
  </si>
  <si>
    <t>Перетирка штукатурки поверхностей стен и перегородок</t>
  </si>
  <si>
    <t>100 м2 поверхности</t>
  </si>
  <si>
    <t>1.7</t>
  </si>
  <si>
    <t>Перегородки</t>
  </si>
  <si>
    <t>1.7.5</t>
  </si>
  <si>
    <t>Восстановление  облицовки  перегородок</t>
  </si>
  <si>
    <t>1.7.5.6</t>
  </si>
  <si>
    <t>Восстановление (ремонт) штукатурки кирпичных, железобетонных и гипсокартонных перегородок известковым раствором площадью отдельных мест до 10 кв.м.</t>
  </si>
  <si>
    <t>100 кв.м.</t>
  </si>
  <si>
    <t>1.7.6</t>
  </si>
  <si>
    <t>Окраска  перегородок</t>
  </si>
  <si>
    <t>1.7.6.3</t>
  </si>
  <si>
    <t>Простая масляная окраска перегородок с расчисткой старой краски 10-35  %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</si>
  <si>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</si>
  <si>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</si>
  <si>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</si>
  <si>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</si>
  <si>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1.9.1.22</t>
  </si>
  <si>
    <t>Простая масляная окраска дверей</t>
  </si>
  <si>
    <t>1.10</t>
  </si>
  <si>
    <t>Лестницы</t>
  </si>
  <si>
    <t>1.10.5</t>
  </si>
  <si>
    <t>Окраска  металлических  элементов  лестниц</t>
  </si>
  <si>
    <t>1.10.5.1</t>
  </si>
  <si>
    <t>Окраска масляными составами ранее окрашенных металлических решеток  без рельефа за 1 раз</t>
  </si>
  <si>
    <t xml:space="preserve"> 100 м2 окрашиваемой поверхности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</si>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</sst>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s="17" customFormat="1" ht="12.75">
      <c r="B6" s="18"/>
      <c r="C6" s="19" t="s">
        <v>22</v>
      </c>
      <c r="D6" s="35" t="s">
        <v>23</v>
      </c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25.5">
      <c r="B7" s="20">
        <v>1</v>
      </c>
      <c r="C7" s="21" t="s">
        <v>24</v>
      </c>
      <c r="D7" s="22" t="s">
        <v>25</v>
      </c>
      <c r="E7" s="22" t="s">
        <v>26</v>
      </c>
      <c r="F7" s="23">
        <v>1.1400000000000001</v>
      </c>
      <c r="G7" s="24">
        <v>1</v>
      </c>
      <c r="H7" s="25">
        <f>F7 * G7 * 1380</f>
        <v>1573.2000000000003</v>
      </c>
      <c r="I7" s="25">
        <f>F7 * G7 * 448.663757</f>
        <v>511.47668298000002</v>
      </c>
      <c r="J7" s="25">
        <f>F7 * G7 * 0</f>
        <v>0</v>
      </c>
      <c r="K7" s="25">
        <f>F7 * G7 * 1313.76</f>
        <v>1497.6864</v>
      </c>
      <c r="L7" s="25">
        <f>F7 * G7 * 360.643707</f>
        <v>411.13382598000004</v>
      </c>
      <c r="M7" s="25">
        <f>F7 * G7 * 276</f>
        <v>314.64000000000004</v>
      </c>
      <c r="N7" s="26">
        <f>SUM(H7:M7)</f>
        <v>4308.1369089600003</v>
      </c>
    </row>
    <row r="8" spans="1:14" ht="25.5">
      <c r="B8" s="20">
        <v>2</v>
      </c>
      <c r="C8" s="21" t="s">
        <v>27</v>
      </c>
      <c r="D8" s="22" t="s">
        <v>28</v>
      </c>
      <c r="E8" s="22" t="s">
        <v>26</v>
      </c>
      <c r="F8" s="23">
        <v>1.1400000000000001</v>
      </c>
      <c r="G8" s="24">
        <v>1</v>
      </c>
      <c r="H8" s="25">
        <f>F8 * G8 * 1794</f>
        <v>2045.1600000000003</v>
      </c>
      <c r="I8" s="25">
        <f>F8 * G8 * 419.181225</f>
        <v>477.86659650000001</v>
      </c>
      <c r="J8" s="25">
        <f>F8 * G8 * 0</f>
        <v>0</v>
      </c>
      <c r="K8" s="25">
        <f>F8 * G8 * 1707.888</f>
        <v>1946.9923200000001</v>
      </c>
      <c r="L8" s="25">
        <f>F8 * G8 * 451.526202999999</f>
        <v>514.73987141999885</v>
      </c>
      <c r="M8" s="25">
        <f>F8 * G8 * 358.8</f>
        <v>409.03200000000004</v>
      </c>
      <c r="N8" s="26">
        <f>SUM(H8:M8)</f>
        <v>5393.7907879199993</v>
      </c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3</v>
      </c>
      <c r="C10" s="21" t="s">
        <v>31</v>
      </c>
      <c r="D10" s="22" t="s">
        <v>32</v>
      </c>
      <c r="E10" s="22" t="s">
        <v>26</v>
      </c>
      <c r="F10" s="23">
        <v>1</v>
      </c>
      <c r="G10" s="24">
        <v>1</v>
      </c>
      <c r="H10" s="25">
        <f>F10 * G10 * 6072</f>
        <v>6072</v>
      </c>
      <c r="I10" s="25">
        <f>F10 * G10 * 2240.512006</f>
        <v>2240.5120059999999</v>
      </c>
      <c r="J10" s="25">
        <f>F10 * G10 * 0</f>
        <v>0</v>
      </c>
      <c r="K10" s="25">
        <f>F10 * G10 * 5780.544</f>
        <v>5780.5439999999999</v>
      </c>
      <c r="L10" s="25">
        <f>F10 * G10 * 1614.936609</f>
        <v>1614.9366090000001</v>
      </c>
      <c r="M10" s="25">
        <f>F10 * G10 * 1214.4</f>
        <v>1214.4000000000001</v>
      </c>
      <c r="N10" s="26">
        <f>SUM(H10:M10)</f>
        <v>16922.392615000001</v>
      </c>
    </row>
    <row r="11" spans="1:14" s="17" customFormat="1" ht="12.75">
      <c r="B11" s="18"/>
      <c r="C11" s="19" t="s">
        <v>33</v>
      </c>
      <c r="D11" s="34" t="s">
        <v>34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25.5">
      <c r="B12" s="20">
        <v>4</v>
      </c>
      <c r="C12" s="21" t="s">
        <v>35</v>
      </c>
      <c r="D12" s="22" t="s">
        <v>36</v>
      </c>
      <c r="E12" s="22" t="s">
        <v>37</v>
      </c>
      <c r="F12" s="23">
        <v>0.25</v>
      </c>
      <c r="G12" s="24">
        <v>1</v>
      </c>
      <c r="H12" s="25">
        <f>F12 * G12 * 49429.2</f>
        <v>12357.3</v>
      </c>
      <c r="I12" s="25">
        <f>F12 * G12 * 17366.40406</f>
        <v>4341.6010150000002</v>
      </c>
      <c r="J12" s="25">
        <f>F12 * G12 * 0</f>
        <v>0</v>
      </c>
      <c r="K12" s="25">
        <f>F12 * G12 * 47056.5984</f>
        <v>11764.149600000001</v>
      </c>
      <c r="L12" s="25">
        <f>F12 * G12 * 13054.363479</f>
        <v>3263.5908697499999</v>
      </c>
      <c r="M12" s="25">
        <f>F12 * G12 * 9885.84</f>
        <v>2471.46</v>
      </c>
      <c r="N12" s="26">
        <f>SUM(H12:M12)</f>
        <v>34198.101484749997</v>
      </c>
    </row>
    <row r="13" spans="1:14" ht="25.5">
      <c r="B13" s="20">
        <v>5</v>
      </c>
      <c r="C13" s="21" t="s">
        <v>38</v>
      </c>
      <c r="D13" s="22" t="s">
        <v>39</v>
      </c>
      <c r="E13" s="22" t="s">
        <v>40</v>
      </c>
      <c r="F13" s="23">
        <v>0.6</v>
      </c>
      <c r="G13" s="24">
        <v>1</v>
      </c>
      <c r="H13" s="25">
        <f>F13 * G13 * 2208</f>
        <v>1324.8</v>
      </c>
      <c r="I13" s="25">
        <f>F13 * G13 * 454.051749</f>
        <v>272.43104939999995</v>
      </c>
      <c r="J13" s="25">
        <f>F13 * G13 * 0</f>
        <v>0</v>
      </c>
      <c r="K13" s="25">
        <f>F13 * G13 * 2102.016</f>
        <v>1261.2095999999999</v>
      </c>
      <c r="L13" s="25">
        <f>F13 * G13 * 549.197948</f>
        <v>329.51876879999998</v>
      </c>
      <c r="M13" s="25">
        <f>F13 * G13 * 441.6</f>
        <v>264.95999999999998</v>
      </c>
      <c r="N13" s="26">
        <f>SUM(H13:M13)</f>
        <v>3452.9194181999997</v>
      </c>
    </row>
    <row r="14" spans="1:14">
      <c r="B14" s="20">
        <v>6</v>
      </c>
      <c r="C14" s="21" t="s">
        <v>41</v>
      </c>
      <c r="D14" s="22" t="s">
        <v>42</v>
      </c>
      <c r="E14" s="22" t="s">
        <v>43</v>
      </c>
      <c r="F14" s="23">
        <v>0.5</v>
      </c>
      <c r="G14" s="24">
        <v>1</v>
      </c>
      <c r="H14" s="25">
        <f>F14 * G14 * 4864.482</f>
        <v>2432.241</v>
      </c>
      <c r="I14" s="25">
        <f>F14 * G14 * 106.528474</f>
        <v>53.264237000000001</v>
      </c>
      <c r="J14" s="25">
        <f>F14 * G14 * 0</f>
        <v>0</v>
      </c>
      <c r="K14" s="25">
        <f>F14 * G14 * 4630.986864</f>
        <v>2315.4934320000002</v>
      </c>
      <c r="L14" s="25">
        <f>F14 * G14 * 1115.65129</f>
        <v>557.82564500000001</v>
      </c>
      <c r="M14" s="25">
        <f>F14 * G14 * 972.8964</f>
        <v>486.44819999999999</v>
      </c>
      <c r="N14" s="26">
        <f>SUM(H14:M14)</f>
        <v>5845.2725140000002</v>
      </c>
    </row>
    <row r="15" spans="1:14" s="14" customFormat="1" ht="15">
      <c r="B15" s="15"/>
      <c r="C15" s="16" t="s">
        <v>44</v>
      </c>
      <c r="D15" s="33" t="s">
        <v>45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s="17" customFormat="1" ht="12.75">
      <c r="B16" s="18"/>
      <c r="C16" s="19" t="s">
        <v>46</v>
      </c>
      <c r="D16" s="34" t="s">
        <v>47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2:14" ht="51">
      <c r="B17" s="20">
        <v>7</v>
      </c>
      <c r="C17" s="21" t="s">
        <v>48</v>
      </c>
      <c r="D17" s="22" t="s">
        <v>49</v>
      </c>
      <c r="E17" s="22" t="s">
        <v>50</v>
      </c>
      <c r="F17" s="23">
        <v>0.25</v>
      </c>
      <c r="G17" s="24">
        <v>1</v>
      </c>
      <c r="H17" s="25">
        <f>F17 * G17 * 36699.53064</f>
        <v>9174.8826599999993</v>
      </c>
      <c r="I17" s="25">
        <f>F17 * G17 * 12635.89668</f>
        <v>3158.97417</v>
      </c>
      <c r="J17" s="25">
        <f>F17 * G17 * 205.132158</f>
        <v>51.283039500000001</v>
      </c>
      <c r="K17" s="25">
        <f>F17 * G17 * 35104.766061</f>
        <v>8776.1915152500005</v>
      </c>
      <c r="L17" s="25">
        <f>F17 * G17 * 9708.139159</f>
        <v>2427.0347897500001</v>
      </c>
      <c r="M17" s="25">
        <f>F17 * G17 * 7374.950853</f>
        <v>1843.7377132500001</v>
      </c>
      <c r="N17" s="26">
        <f>SUM(H17:M17)</f>
        <v>25432.10388775</v>
      </c>
    </row>
    <row r="18" spans="2:14" s="17" customFormat="1" ht="12.75">
      <c r="B18" s="18"/>
      <c r="C18" s="19" t="s">
        <v>51</v>
      </c>
      <c r="D18" s="34" t="s">
        <v>52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2:14" ht="25.5">
      <c r="B19" s="20">
        <v>8</v>
      </c>
      <c r="C19" s="21" t="s">
        <v>53</v>
      </c>
      <c r="D19" s="22" t="s">
        <v>54</v>
      </c>
      <c r="E19" s="22" t="s">
        <v>50</v>
      </c>
      <c r="F19" s="23">
        <v>2.5</v>
      </c>
      <c r="G19" s="24">
        <v>1</v>
      </c>
      <c r="H19" s="25">
        <f>F19 * G19 * 4594.02</f>
        <v>11485.050000000001</v>
      </c>
      <c r="I19" s="25">
        <f>F19 * G19 * 2100.335666</f>
        <v>5250.8391649999994</v>
      </c>
      <c r="J19" s="25">
        <f>F19 * G19 * 0</f>
        <v>0</v>
      </c>
      <c r="K19" s="25">
        <f>F19 * G19 * 4373.50703999999</f>
        <v>10933.767599999976</v>
      </c>
      <c r="L19" s="25">
        <f>F19 * G19 * 1264.593338</f>
        <v>3161.4833449999996</v>
      </c>
      <c r="M19" s="25">
        <f>F19 * G19 * 918.804</f>
        <v>2297.0099999999998</v>
      </c>
      <c r="N19" s="26">
        <f>SUM(H19:M19)</f>
        <v>33128.15010999998</v>
      </c>
    </row>
    <row r="20" spans="2:14" s="14" customFormat="1" ht="15">
      <c r="B20" s="15"/>
      <c r="C20" s="16" t="s">
        <v>55</v>
      </c>
      <c r="D20" s="33" t="s">
        <v>56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2:14" s="17" customFormat="1" ht="12.75">
      <c r="B21" s="18"/>
      <c r="C21" s="19" t="s">
        <v>57</v>
      </c>
      <c r="D21" s="34" t="s">
        <v>58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>
      <c r="B22" s="20">
        <v>9</v>
      </c>
      <c r="C22" s="21" t="s">
        <v>59</v>
      </c>
      <c r="D22" s="22" t="s">
        <v>60</v>
      </c>
      <c r="E22" s="22" t="s">
        <v>50</v>
      </c>
      <c r="F22" s="23">
        <v>0.08</v>
      </c>
      <c r="G22" s="24">
        <v>1</v>
      </c>
      <c r="H22" s="25">
        <f>F22 * G22 * 7314</f>
        <v>585.12</v>
      </c>
      <c r="I22" s="25">
        <f>F22 * G22 * 2986.115776</f>
        <v>238.88926208000001</v>
      </c>
      <c r="J22" s="25">
        <f>F22 * G22 * 0</f>
        <v>0</v>
      </c>
      <c r="K22" s="25">
        <f>F22 * G22 * 6962.928</f>
        <v>557.03423999999995</v>
      </c>
      <c r="L22" s="25">
        <f>F22 * G22 * 1975.57651799999</f>
        <v>158.04612143999921</v>
      </c>
      <c r="M22" s="25">
        <f>F22 * G22 * 1462.8</f>
        <v>117.024</v>
      </c>
      <c r="N22" s="26">
        <f>SUM(H22:M22)</f>
        <v>1656.1136235199992</v>
      </c>
    </row>
    <row r="23" spans="2:14" s="14" customFormat="1" ht="15">
      <c r="B23" s="15"/>
      <c r="C23" s="16" t="s">
        <v>61</v>
      </c>
      <c r="D23" s="33" t="s">
        <v>62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2:14" s="17" customFormat="1" ht="12.75">
      <c r="B24" s="18"/>
      <c r="C24" s="19" t="s">
        <v>63</v>
      </c>
      <c r="D24" s="34" t="s">
        <v>64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2:14" ht="25.5">
      <c r="B25" s="20">
        <v>10</v>
      </c>
      <c r="C25" s="21" t="s">
        <v>65</v>
      </c>
      <c r="D25" s="22" t="s">
        <v>66</v>
      </c>
      <c r="E25" s="22" t="s">
        <v>67</v>
      </c>
      <c r="F25" s="23">
        <v>0.3</v>
      </c>
      <c r="G25" s="24">
        <v>1</v>
      </c>
      <c r="H25" s="25">
        <f>F25 * G25 * 8659.5</f>
        <v>2597.85</v>
      </c>
      <c r="I25" s="25">
        <f>F25 * G25 * 1090.294211</f>
        <v>327.08826329999994</v>
      </c>
      <c r="J25" s="25">
        <f>F25 * G25 * 0</f>
        <v>0</v>
      </c>
      <c r="K25" s="25">
        <f>F25 * G25 * 8243.844</f>
        <v>2473.1531999999997</v>
      </c>
      <c r="L25" s="25">
        <f>F25 * G25 * 2081.044281</f>
        <v>624.31328429999996</v>
      </c>
      <c r="M25" s="25">
        <f>F25 * G25 * 1731.9</f>
        <v>519.57000000000005</v>
      </c>
      <c r="N25" s="26">
        <f>SUM(H25:M25)</f>
        <v>6541.9747475999993</v>
      </c>
    </row>
    <row r="26" spans="2:14" s="14" customFormat="1" ht="15">
      <c r="B26" s="15"/>
      <c r="C26" s="16" t="s">
        <v>68</v>
      </c>
      <c r="D26" s="33" t="s">
        <v>69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2:14" ht="25.5">
      <c r="B27" s="20">
        <v>11</v>
      </c>
      <c r="C27" s="21" t="s">
        <v>70</v>
      </c>
      <c r="D27" s="22" t="s">
        <v>71</v>
      </c>
      <c r="E27" s="22" t="s">
        <v>72</v>
      </c>
      <c r="F27" s="23">
        <v>0.25</v>
      </c>
      <c r="G27" s="24">
        <v>3</v>
      </c>
      <c r="H27" s="25">
        <f>F27 * G27 * 2443.6344</f>
        <v>1832.7257999999999</v>
      </c>
      <c r="I27" s="25">
        <f>F27 * G27 * 600.324723</f>
        <v>450.24354224999996</v>
      </c>
      <c r="J27" s="25">
        <f>F27 * G27 * 0</f>
        <v>0</v>
      </c>
      <c r="K27" s="25">
        <f>F27 * G27 * 2326.339949</f>
        <v>1744.7549617500001</v>
      </c>
      <c r="L27" s="25">
        <f>F27 * G27 * 618.127237999999</f>
        <v>463.59542849999923</v>
      </c>
      <c r="M27" s="25">
        <f>F27 * G27 * 488.72688</f>
        <v>366.54516000000001</v>
      </c>
      <c r="N27" s="26">
        <f>SUM(H27:M27)</f>
        <v>4857.8648924999989</v>
      </c>
    </row>
    <row r="28" spans="2:14" s="14" customFormat="1" ht="15">
      <c r="B28" s="15"/>
      <c r="C28" s="16" t="s">
        <v>73</v>
      </c>
      <c r="D28" s="33" t="s">
        <v>74</v>
      </c>
      <c r="E28" s="33"/>
      <c r="F28" s="33"/>
      <c r="G28" s="33"/>
      <c r="H28" s="33"/>
      <c r="I28" s="33"/>
      <c r="J28" s="33"/>
      <c r="K28" s="33"/>
      <c r="L28" s="33"/>
      <c r="M28" s="33"/>
      <c r="N28" s="33"/>
    </row>
    <row r="29" spans="2:14" s="17" customFormat="1" ht="12.75">
      <c r="B29" s="18"/>
      <c r="C29" s="19" t="s">
        <v>75</v>
      </c>
      <c r="D29" s="34" t="s">
        <v>76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2:14" s="17" customFormat="1" ht="12.75">
      <c r="B30" s="18"/>
      <c r="C30" s="19" t="s">
        <v>77</v>
      </c>
      <c r="D30" s="35" t="s">
        <v>78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2:14" ht="25.5">
      <c r="B31" s="20">
        <v>12</v>
      </c>
      <c r="C31" s="21" t="s">
        <v>79</v>
      </c>
      <c r="D31" s="22" t="s">
        <v>80</v>
      </c>
      <c r="E31" s="22" t="s">
        <v>81</v>
      </c>
      <c r="F31" s="23">
        <v>19.2</v>
      </c>
      <c r="G31" s="24">
        <v>1</v>
      </c>
      <c r="H31" s="25">
        <f>F31 * G31 * 950.793</f>
        <v>18255.225599999998</v>
      </c>
      <c r="I31" s="25">
        <f>F31 * G31 * 7.170829</f>
        <v>137.6799168</v>
      </c>
      <c r="J31" s="25">
        <f>F31 * G31 * 0</f>
        <v>0</v>
      </c>
      <c r="K31" s="25">
        <f>F31 * G31 * 905.154935999999</f>
        <v>17378.974771199981</v>
      </c>
      <c r="L31" s="25">
        <f>F31 * G31 * 216.620762</f>
        <v>4159.1186304000003</v>
      </c>
      <c r="M31" s="25">
        <f>F31 * G31 * 190.1586</f>
        <v>3651.0451200000002</v>
      </c>
      <c r="N31" s="26">
        <f>SUM(H31:M31)</f>
        <v>43582.044038399981</v>
      </c>
    </row>
    <row r="32" spans="2:14" s="17" customFormat="1" ht="12.75">
      <c r="B32" s="18"/>
      <c r="C32" s="19" t="s">
        <v>82</v>
      </c>
      <c r="D32" s="35" t="s">
        <v>83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spans="2:14" ht="25.5">
      <c r="B33" s="20">
        <v>13</v>
      </c>
      <c r="C33" s="21" t="s">
        <v>84</v>
      </c>
      <c r="D33" s="22" t="s">
        <v>85</v>
      </c>
      <c r="E33" s="22" t="s">
        <v>86</v>
      </c>
      <c r="F33" s="23">
        <v>57.6</v>
      </c>
      <c r="G33" s="24">
        <v>1</v>
      </c>
      <c r="H33" s="25">
        <f>F33 * G33 * 223.97976</f>
        <v>12901.234176</v>
      </c>
      <c r="I33" s="25">
        <f>F33 * G33 * 0</f>
        <v>0</v>
      </c>
      <c r="J33" s="25">
        <f>F33 * G33 * 0</f>
        <v>0</v>
      </c>
      <c r="K33" s="25">
        <f>F33 * G33 * 213.228732</f>
        <v>12281.9749632</v>
      </c>
      <c r="L33" s="25">
        <f>F33 * G33 * 50.8514689999999</f>
        <v>2929.0446143999943</v>
      </c>
      <c r="M33" s="25">
        <f>F33 * G33 * 44.795952</f>
        <v>2580.2468352000001</v>
      </c>
      <c r="N33" s="26">
        <f>SUM(H33:M33)</f>
        <v>30692.500588799994</v>
      </c>
    </row>
    <row r="34" spans="2:14" s="27" customFormat="1" ht="20.100000000000001" customHeight="1">
      <c r="B34" s="36" t="s">
        <v>87</v>
      </c>
      <c r="C34" s="36"/>
      <c r="D34" s="36"/>
      <c r="E34" s="36"/>
      <c r="F34" s="36"/>
      <c r="G34" s="36"/>
      <c r="H34" s="28">
        <f t="shared" ref="H34:N34" si="0">SUM(H4:H33)</f>
        <v>82636.789236000011</v>
      </c>
      <c r="I34" s="28">
        <f t="shared" si="0"/>
        <v>17460.865906309999</v>
      </c>
      <c r="J34" s="28">
        <f t="shared" si="0"/>
        <v>51.283039500000001</v>
      </c>
      <c r="K34" s="28">
        <f t="shared" si="0"/>
        <v>78711.926603399959</v>
      </c>
      <c r="L34" s="28">
        <f t="shared" si="0"/>
        <v>20614.381803739991</v>
      </c>
      <c r="M34" s="28">
        <f t="shared" si="0"/>
        <v>16536.119028450001</v>
      </c>
      <c r="N34" s="29">
        <f t="shared" si="0"/>
        <v>216011.36561739992</v>
      </c>
    </row>
  </sheetData>
  <mergeCells count="21">
    <mergeCell ref="B34:G34"/>
    <mergeCell ref="D26:N26"/>
    <mergeCell ref="D28:N28"/>
    <mergeCell ref="D29:N29"/>
    <mergeCell ref="D30:N30"/>
    <mergeCell ref="D32:N32"/>
    <mergeCell ref="D18:N18"/>
    <mergeCell ref="D20:N20"/>
    <mergeCell ref="D21:N21"/>
    <mergeCell ref="D23:N23"/>
    <mergeCell ref="D24:N24"/>
    <mergeCell ref="D6:N6"/>
    <mergeCell ref="D9:N9"/>
    <mergeCell ref="D11:N11"/>
    <mergeCell ref="D15:N15"/>
    <mergeCell ref="D16:N16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&amp;C&amp;KCCCCCC&amp;"Arial"Д. Ульянова 22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 Ульянова 22</dc:title>
  <dc:creator/>
  <cp:lastModifiedBy/>
  <cp:lastPrinted>2022-03-22T11:14:53Z</cp:lastPrinted>
  <dcterms:created xsi:type="dcterms:W3CDTF">2022-03-22T11:14:53Z</dcterms:created>
  <dcterms:modified xsi:type="dcterms:W3CDTF">2022-03-22T11:17:34Z</dcterms:modified>
</cp:coreProperties>
</file>