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52" i="1"/>
  <c r="L52"/>
  <c r="K52"/>
  <c r="J52"/>
  <c r="I52"/>
  <c r="H52"/>
  <c r="N52" s="1"/>
  <c r="M49"/>
  <c r="L49"/>
  <c r="K49"/>
  <c r="J49"/>
  <c r="N49" s="1"/>
  <c r="I49"/>
  <c r="H49"/>
  <c r="M47"/>
  <c r="L47"/>
  <c r="K47"/>
  <c r="J47"/>
  <c r="N47" s="1"/>
  <c r="I47"/>
  <c r="H47"/>
  <c r="M46"/>
  <c r="L46"/>
  <c r="K46"/>
  <c r="J46"/>
  <c r="I46"/>
  <c r="H46"/>
  <c r="N46" s="1"/>
  <c r="M44"/>
  <c r="L44"/>
  <c r="K44"/>
  <c r="J44"/>
  <c r="I44"/>
  <c r="H44"/>
  <c r="N44" s="1"/>
  <c r="M41"/>
  <c r="L41"/>
  <c r="K41"/>
  <c r="J41"/>
  <c r="N41" s="1"/>
  <c r="I41"/>
  <c r="H41"/>
  <c r="M38"/>
  <c r="L38"/>
  <c r="K38"/>
  <c r="J38"/>
  <c r="N38" s="1"/>
  <c r="I38"/>
  <c r="H38"/>
  <c r="M36"/>
  <c r="L36"/>
  <c r="K36"/>
  <c r="J36"/>
  <c r="I36"/>
  <c r="H36"/>
  <c r="N36" s="1"/>
  <c r="M34"/>
  <c r="L34"/>
  <c r="K34"/>
  <c r="J34"/>
  <c r="I34"/>
  <c r="H34"/>
  <c r="N34" s="1"/>
  <c r="M30"/>
  <c r="L30"/>
  <c r="K30"/>
  <c r="J30"/>
  <c r="N30" s="1"/>
  <c r="I30"/>
  <c r="H30"/>
  <c r="M28"/>
  <c r="L28"/>
  <c r="K28"/>
  <c r="J28"/>
  <c r="N28" s="1"/>
  <c r="I28"/>
  <c r="H28"/>
  <c r="M25"/>
  <c r="L25"/>
  <c r="K25"/>
  <c r="J25"/>
  <c r="I25"/>
  <c r="H25"/>
  <c r="N25" s="1"/>
  <c r="M24"/>
  <c r="L24"/>
  <c r="K24"/>
  <c r="J24"/>
  <c r="I24"/>
  <c r="H24"/>
  <c r="N24" s="1"/>
  <c r="M23"/>
  <c r="L23"/>
  <c r="K23"/>
  <c r="J23"/>
  <c r="N23" s="1"/>
  <c r="I23"/>
  <c r="H23"/>
  <c r="M21"/>
  <c r="L21"/>
  <c r="K21"/>
  <c r="J21"/>
  <c r="N21" s="1"/>
  <c r="I21"/>
  <c r="H21"/>
  <c r="M20"/>
  <c r="L20"/>
  <c r="K20"/>
  <c r="J20"/>
  <c r="I20"/>
  <c r="H20"/>
  <c r="N20" s="1"/>
  <c r="M19"/>
  <c r="L19"/>
  <c r="K19"/>
  <c r="J19"/>
  <c r="I19"/>
  <c r="H19"/>
  <c r="N19" s="1"/>
  <c r="M18"/>
  <c r="L18"/>
  <c r="K18"/>
  <c r="J18"/>
  <c r="N18" s="1"/>
  <c r="I18"/>
  <c r="H18"/>
  <c r="M14"/>
  <c r="L14"/>
  <c r="K14"/>
  <c r="J14"/>
  <c r="N14" s="1"/>
  <c r="I14"/>
  <c r="H14"/>
  <c r="M11"/>
  <c r="M53" s="1"/>
  <c r="L11"/>
  <c r="K11"/>
  <c r="J11"/>
  <c r="I11"/>
  <c r="I53" s="1"/>
  <c r="H11"/>
  <c r="N11" s="1"/>
  <c r="M6"/>
  <c r="L6"/>
  <c r="L53" s="1"/>
  <c r="K6"/>
  <c r="K53" s="1"/>
  <c r="J6"/>
  <c r="J53" s="1"/>
  <c r="I6"/>
  <c r="H6"/>
  <c r="N6" s="1"/>
  <c r="N53" l="1"/>
  <c r="H53"/>
</calcChain>
</file>

<file path=xl/sharedStrings.xml><?xml version="1.0" encoding="utf-8"?>
<sst xmlns="http://schemas.openxmlformats.org/spreadsheetml/2006/main" count="139" uniqueCount="129">
  <si>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</si>
  <si>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</si>
  <si>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</si>
  <si>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</si>
  <si>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</si>
  <si>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</si>
  <si>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</si>
  <si>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</si>
  <si>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</si>
  <si>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</si>
  <si>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</si>
  <si>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</si>
  <si>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</si>
  <si>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</si>
  <si>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Демонстрации 138</t>
  </si>
  <si>
    <t>Дата изменения:</t>
  </si>
  <si>
    <t>21.03.2022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</si>
  <si>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</si>
  <si>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</si>
  <si>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</si>
  <si>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</si>
  <si>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</si>
  <si>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</si>
  <si>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</si>
  <si>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</si>
  <si>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1.8</t>
  </si>
  <si>
    <t>Крыши и кровли</t>
  </si>
  <si>
    <t>1.8.2</t>
  </si>
  <si>
    <t>Ремонт, модернизация кровли и крыши</t>
  </si>
  <si>
    <t>1.8.2.3</t>
  </si>
  <si>
    <t>Ремонт, модернизация кровли из штучных материалов</t>
  </si>
  <si>
    <t>1.8.2.3.1</t>
  </si>
  <si>
    <t>Ремонт, модернизация кровли из асбоцементных листов</t>
  </si>
  <si>
    <t>1.8.2.3.1.1</t>
  </si>
  <si>
    <t>Смена поврежденных листов асбоцементных кровель</t>
  </si>
  <si>
    <t>100 м2 сменяемого покрытия</t>
  </si>
  <si>
    <t>1.10</t>
  </si>
  <si>
    <t>Лестницы</t>
  </si>
  <si>
    <t>1.10.7</t>
  </si>
  <si>
    <t>Прочие работы по ремонту лестниц</t>
  </si>
  <si>
    <t>1.10.7.3</t>
  </si>
  <si>
    <t>Заделка выбоин в каменных ступенях</t>
  </si>
  <si>
    <t>100 м2 заделанной поверхности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</si>
  <si>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</si>
  <si>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</si>
  <si>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</si>
  <si>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</si>
  <si>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</si>
  <si>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</si>
  <si>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2.1.2.1.1</t>
  </si>
  <si>
    <t>Смена отдельных участков трубопроводов из стальных водогазопроводных неоцинкованных труб диаметром 15 мм</t>
  </si>
  <si>
    <t>100 м трубопровода</t>
  </si>
  <si>
    <t>2.1.2.1.2</t>
  </si>
  <si>
    <t>Смена отдельных участков трубопроводов из стальных водогазопроводных неоцинкованных труб диаметром 20 мм</t>
  </si>
  <si>
    <t>2.1.2.1.4</t>
  </si>
  <si>
    <t>Смена отдельных участков трубопроводов из стальных водогазопроводных неоцинкованных труб диаметром 32 мм</t>
  </si>
  <si>
    <t>2.1.2.1.6</t>
  </si>
  <si>
    <t>Смена отдельных участков трубопроводов из стальных водогазопроводных неоцинкованных труб диаметром 50 мм</t>
  </si>
  <si>
    <t>2.1.2.2</t>
  </si>
  <si>
    <t>Смена отдельных участков трубопроводов из стальных электросварных труб</t>
  </si>
  <si>
    <t>2.1.2.2.1</t>
  </si>
  <si>
    <t>Смена отдельных участков трубопроводов из стальных электросварных труб  диаметром 40 мм</t>
  </si>
  <si>
    <t>2.1.2.2.3</t>
  </si>
  <si>
    <t>Смена отдельных участков трубопроводов из стальных электросварных труб   диаметром 65 мм</t>
  </si>
  <si>
    <t>2.1.2.2.4</t>
  </si>
  <si>
    <t>Смена отдельных участков трубопроводов из стальных электросварных труб   диаметром  80 мм</t>
  </si>
  <si>
    <t>2.1.8</t>
  </si>
  <si>
    <t>Ремонт  насосов,  магистральной запорной арматуры,  автоматических устройств</t>
  </si>
  <si>
    <t>2.1.8.8</t>
  </si>
  <si>
    <t>Смена вентиля</t>
  </si>
  <si>
    <t>2.1.8.8.1</t>
  </si>
  <si>
    <t>Смена вентиля диаметром до 25 мм</t>
  </si>
  <si>
    <t>100 вентилей</t>
  </si>
  <si>
    <t>2.1.8.9</t>
  </si>
  <si>
    <t>Установка кранов для спуска воздуха из системы</t>
  </si>
  <si>
    <t>2.1.8.9.1</t>
  </si>
  <si>
    <t>Установка кранов для спуска воздуха из системы, диаметр крана 15-20 мм</t>
  </si>
  <si>
    <t>100 кранов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</si>
  <si>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</si>
  <si>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</si>
  <si>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</si>
  <si>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</si>
  <si>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2.2.1.5</t>
  </si>
  <si>
    <t>Замена внутренних водопроводов из стальных труб на металлопластиковые</t>
  </si>
  <si>
    <t>2.2.1.5.1</t>
  </si>
  <si>
    <t>Замена внутренних водопроводов из стальных труб   на металлопластиковые, диаметром 20 мм</t>
  </si>
  <si>
    <t>100 м трубопроводов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</si>
  <si>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</si>
  <si>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</si>
  <si>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</si>
  <si>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</si>
  <si>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</si>
  <si>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2.3.10</t>
  </si>
  <si>
    <t>Прокладка внутренних трубопроводов канализации из полипропиленовых труб</t>
  </si>
  <si>
    <t>2.3.10.2</t>
  </si>
  <si>
    <t>Прокладка внутренних трубопроводов канализации из полипропиленовых труб диаметром 110 мм</t>
  </si>
  <si>
    <t>2.6</t>
  </si>
  <si>
    <t>Подготовка многоквартирного дома к сезонной эксплуатации, проведение технических осмотров</t>
  </si>
  <si>
    <t>2.6.9</t>
  </si>
  <si>
    <t>Осмотр всех элементов кровли, водостоков</t>
  </si>
  <si>
    <t>2.6.9.3</t>
  </si>
  <si>
    <t>Осмотр всех элементов кровель из штучных материалов, водостоков</t>
  </si>
  <si>
    <t>1000 кв.м. кровли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</si>
  <si>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</si>
  <si>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</si>
  <si>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2.6.14.1</t>
  </si>
  <si>
    <t>Осмотр системы центрального отопления</t>
  </si>
  <si>
    <t>2.6.14.1.2</t>
  </si>
  <si>
    <t>Осмотр устройства системы центрального отопления в чердачных и подвальных помещениях</t>
  </si>
  <si>
    <t>1000 м2 осматриваемых помещений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</si>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</sst>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3"/>
  <sheetViews>
    <sheetView tabSelected="1" workbookViewId="0">
      <pane ySplit="1" topLeftCell="A2" activePane="bottomLeft" state="frozen"/>
      <selection pane="bottomLeft" activeCell="D10" sqref="D10:N10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0.43</v>
      </c>
      <c r="G6" s="24">
        <v>1</v>
      </c>
      <c r="H6" s="25">
        <f>F6 * G6 * 1717.8024</f>
        <v>738.65503200000001</v>
      </c>
      <c r="I6" s="25">
        <f>F6 * G6 * 2684.13</f>
        <v>1154.1759</v>
      </c>
      <c r="J6" s="25">
        <f>F6 * G6 * 0</f>
        <v>0</v>
      </c>
      <c r="K6" s="25">
        <f>F6 * G6 * 1635.347885</f>
        <v>703.19959054999993</v>
      </c>
      <c r="L6" s="25">
        <f>F6 * G6 * 673.178701</f>
        <v>289.46684142999999</v>
      </c>
      <c r="M6" s="25">
        <f>F6 * G6 * 343.56048</f>
        <v>147.73100639999998</v>
      </c>
      <c r="N6" s="26">
        <f>SUM(H6:M6)</f>
        <v>3033.2283703799994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s="17" customFormat="1" ht="12.75">
      <c r="B10" s="18"/>
      <c r="C10" s="19" t="s">
        <v>31</v>
      </c>
      <c r="D10" s="36" t="s">
        <v>32</v>
      </c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4" ht="25.5">
      <c r="B11" s="20">
        <v>2</v>
      </c>
      <c r="C11" s="21" t="s">
        <v>33</v>
      </c>
      <c r="D11" s="22" t="s">
        <v>34</v>
      </c>
      <c r="E11" s="22" t="s">
        <v>35</v>
      </c>
      <c r="F11" s="23">
        <v>4.7E-2</v>
      </c>
      <c r="G11" s="24">
        <v>1</v>
      </c>
      <c r="H11" s="25">
        <f>F11 * G11 * 11350.458</f>
        <v>533.47152600000004</v>
      </c>
      <c r="I11" s="25">
        <f>F11 * G11 * 25938.320454</f>
        <v>1219.1010613380001</v>
      </c>
      <c r="J11" s="25">
        <f>F11 * G11 * 0</f>
        <v>0</v>
      </c>
      <c r="K11" s="25">
        <f>F11 * G11 * 10805.636016</f>
        <v>507.864892752</v>
      </c>
      <c r="L11" s="25">
        <f>F11 * G11 * 5313.45539</f>
        <v>249.73240333000001</v>
      </c>
      <c r="M11" s="25">
        <f>F11 * G11 * 2270.0916</f>
        <v>106.69430520000002</v>
      </c>
      <c r="N11" s="26">
        <f>SUM(H11:M11)</f>
        <v>2616.8641886200003</v>
      </c>
    </row>
    <row r="12" spans="1:14" s="14" customFormat="1" ht="15">
      <c r="B12" s="15"/>
      <c r="C12" s="16" t="s">
        <v>36</v>
      </c>
      <c r="D12" s="33" t="s">
        <v>37</v>
      </c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17" customFormat="1" ht="12.75">
      <c r="B13" s="18"/>
      <c r="C13" s="19" t="s">
        <v>38</v>
      </c>
      <c r="D13" s="34" t="s">
        <v>39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</row>
    <row r="14" spans="1:14" ht="25.5">
      <c r="B14" s="20">
        <v>3</v>
      </c>
      <c r="C14" s="21" t="s">
        <v>40</v>
      </c>
      <c r="D14" s="22" t="s">
        <v>41</v>
      </c>
      <c r="E14" s="22" t="s">
        <v>42</v>
      </c>
      <c r="F14" s="23">
        <v>2.5000000000000001E-2</v>
      </c>
      <c r="G14" s="24">
        <v>1</v>
      </c>
      <c r="H14" s="25">
        <f>F14 * G14 * 35483.76</f>
        <v>887.09400000000005</v>
      </c>
      <c r="I14" s="25">
        <f>F14 * G14 * 295622.928775</f>
        <v>7390.573219375</v>
      </c>
      <c r="J14" s="25">
        <f>F14 * G14 * 0</f>
        <v>0</v>
      </c>
      <c r="K14" s="25">
        <f>F14 * G14 * 33780.53952</f>
        <v>844.51348800000005</v>
      </c>
      <c r="L14" s="25">
        <f>F14 * G14 * 39244.309921</f>
        <v>981.10774802500009</v>
      </c>
      <c r="M14" s="25">
        <f>F14 * G14 * 7096.752</f>
        <v>177.41880000000003</v>
      </c>
      <c r="N14" s="26">
        <f>SUM(H14:M14)</f>
        <v>10280.707255400001</v>
      </c>
    </row>
    <row r="15" spans="1:14" s="14" customFormat="1" ht="15">
      <c r="B15" s="15"/>
      <c r="C15" s="16" t="s">
        <v>43</v>
      </c>
      <c r="D15" s="33" t="s">
        <v>44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1:14" s="17" customFormat="1" ht="12.75">
      <c r="B16" s="18"/>
      <c r="C16" s="19" t="s">
        <v>45</v>
      </c>
      <c r="D16" s="34" t="s">
        <v>46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17" spans="2:14" s="17" customFormat="1" ht="12.75">
      <c r="B17" s="18"/>
      <c r="C17" s="19" t="s">
        <v>47</v>
      </c>
      <c r="D17" s="35" t="s">
        <v>48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</row>
    <row r="18" spans="2:14" ht="38.25">
      <c r="B18" s="20">
        <v>4</v>
      </c>
      <c r="C18" s="21" t="s">
        <v>49</v>
      </c>
      <c r="D18" s="22" t="s">
        <v>50</v>
      </c>
      <c r="E18" s="22" t="s">
        <v>51</v>
      </c>
      <c r="F18" s="23">
        <v>0.01</v>
      </c>
      <c r="G18" s="24">
        <v>1</v>
      </c>
      <c r="H18" s="25">
        <f>F18 * G18 * 21019.178855</f>
        <v>210.19178854999998</v>
      </c>
      <c r="I18" s="25">
        <f>F18 * G18 * 9007.831335</f>
        <v>90.078313350000016</v>
      </c>
      <c r="J18" s="25">
        <f>F18 * G18 * 0</f>
        <v>0</v>
      </c>
      <c r="K18" s="25">
        <f>F18 * G18 * 20010.25827</f>
        <v>200.1025827</v>
      </c>
      <c r="L18" s="25">
        <f>F18 * G18 * 5722.436496</f>
        <v>57.224364960000003</v>
      </c>
      <c r="M18" s="25">
        <f>F18 * G18 * 4203.835771</f>
        <v>42.03835771</v>
      </c>
      <c r="N18" s="26">
        <f>SUM(H18:M18)</f>
        <v>599.63540726999997</v>
      </c>
    </row>
    <row r="19" spans="2:14" ht="38.25">
      <c r="B19" s="20">
        <v>5</v>
      </c>
      <c r="C19" s="21" t="s">
        <v>52</v>
      </c>
      <c r="D19" s="22" t="s">
        <v>53</v>
      </c>
      <c r="E19" s="22" t="s">
        <v>51</v>
      </c>
      <c r="F19" s="23">
        <v>0.02</v>
      </c>
      <c r="G19" s="24">
        <v>1</v>
      </c>
      <c r="H19" s="25">
        <f>F19 * G19 * 22070.1378</f>
        <v>441.40275600000001</v>
      </c>
      <c r="I19" s="25">
        <f>F19 * G19 * 10897.981095</f>
        <v>217.9596219</v>
      </c>
      <c r="J19" s="25">
        <f>F19 * G19 * 0</f>
        <v>0</v>
      </c>
      <c r="K19" s="25">
        <f>F19 * G19 * 21010.7711859999</f>
        <v>420.215423719998</v>
      </c>
      <c r="L19" s="25">
        <f>F19 * G19 * 6160.452811</f>
        <v>123.20905622000001</v>
      </c>
      <c r="M19" s="25">
        <f>F19 * G19 * 4414.02756</f>
        <v>88.280551200000005</v>
      </c>
      <c r="N19" s="26">
        <f>SUM(H19:M19)</f>
        <v>1291.067409039998</v>
      </c>
    </row>
    <row r="20" spans="2:14" ht="38.25">
      <c r="B20" s="20">
        <v>6</v>
      </c>
      <c r="C20" s="21" t="s">
        <v>54</v>
      </c>
      <c r="D20" s="22" t="s">
        <v>55</v>
      </c>
      <c r="E20" s="22" t="s">
        <v>51</v>
      </c>
      <c r="F20" s="23">
        <v>0.02</v>
      </c>
      <c r="G20" s="24">
        <v>1</v>
      </c>
      <c r="H20" s="25">
        <f>F20 * G20 * 22490.286</f>
        <v>449.80572000000001</v>
      </c>
      <c r="I20" s="25">
        <f>F20 * G20 * 25106.015612</f>
        <v>502.12031223999998</v>
      </c>
      <c r="J20" s="25">
        <f>F20 * G20 * 0</f>
        <v>0</v>
      </c>
      <c r="K20" s="25">
        <f>F20 * G20 * 21410.752272</f>
        <v>428.21504544000004</v>
      </c>
      <c r="L20" s="25">
        <f>F20 * G20 * 7754.789219</f>
        <v>155.09578438</v>
      </c>
      <c r="M20" s="25">
        <f>F20 * G20 * 4498.0572</f>
        <v>89.961144000000004</v>
      </c>
      <c r="N20" s="26">
        <f>SUM(H20:M20)</f>
        <v>1625.1980060600001</v>
      </c>
    </row>
    <row r="21" spans="2:14" ht="38.25">
      <c r="B21" s="20">
        <v>7</v>
      </c>
      <c r="C21" s="21" t="s">
        <v>56</v>
      </c>
      <c r="D21" s="22" t="s">
        <v>57</v>
      </c>
      <c r="E21" s="22" t="s">
        <v>51</v>
      </c>
      <c r="F21" s="23">
        <v>0.08</v>
      </c>
      <c r="G21" s="24">
        <v>1</v>
      </c>
      <c r="H21" s="25">
        <f>F21 * G21 * 27433.206</f>
        <v>2194.6564800000001</v>
      </c>
      <c r="I21" s="25">
        <f>F21 * G21 * 34834.490663</f>
        <v>2786.7592530399997</v>
      </c>
      <c r="J21" s="25">
        <f>F21 * G21 * 0</f>
        <v>0</v>
      </c>
      <c r="K21" s="25">
        <f>F21 * G21 * 26116.412112</f>
        <v>2089.31296896</v>
      </c>
      <c r="L21" s="25">
        <f>F21 * G21 * 9903.364122</f>
        <v>792.26912976000006</v>
      </c>
      <c r="M21" s="25">
        <f>F21 * G21 * 5486.6412</f>
        <v>438.93129600000003</v>
      </c>
      <c r="N21" s="26">
        <f>SUM(H21:M21)</f>
        <v>8301.9291277600005</v>
      </c>
    </row>
    <row r="22" spans="2:14" s="17" customFormat="1" ht="12.75">
      <c r="B22" s="18"/>
      <c r="C22" s="19" t="s">
        <v>58</v>
      </c>
      <c r="D22" s="35" t="s">
        <v>59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2:14" ht="25.5">
      <c r="B23" s="20">
        <v>8</v>
      </c>
      <c r="C23" s="21" t="s">
        <v>60</v>
      </c>
      <c r="D23" s="22" t="s">
        <v>61</v>
      </c>
      <c r="E23" s="22" t="s">
        <v>51</v>
      </c>
      <c r="F23" s="23">
        <v>0.03</v>
      </c>
      <c r="G23" s="24">
        <v>1</v>
      </c>
      <c r="H23" s="25">
        <f>F23 * G23 * 16064.49</f>
        <v>481.93469999999996</v>
      </c>
      <c r="I23" s="25">
        <f>F23 * G23 * 32297.112501</f>
        <v>968.91337503</v>
      </c>
      <c r="J23" s="25">
        <f>F23 * G23 * 0</f>
        <v>0</v>
      </c>
      <c r="K23" s="25">
        <f>F23 * G23 * 15293.3944799999</f>
        <v>458.80183439999701</v>
      </c>
      <c r="L23" s="25">
        <f>F23 * G23 * 7054.562921</f>
        <v>211.63688762999999</v>
      </c>
      <c r="M23" s="25">
        <f>F23 * G23 * 3212.898</f>
        <v>96.386939999999996</v>
      </c>
      <c r="N23" s="26">
        <f>SUM(H23:M23)</f>
        <v>2217.6737370599967</v>
      </c>
    </row>
    <row r="24" spans="2:14" ht="25.5">
      <c r="B24" s="20">
        <v>9</v>
      </c>
      <c r="C24" s="21" t="s">
        <v>62</v>
      </c>
      <c r="D24" s="22" t="s">
        <v>63</v>
      </c>
      <c r="E24" s="22" t="s">
        <v>51</v>
      </c>
      <c r="F24" s="23">
        <v>0.06</v>
      </c>
      <c r="G24" s="24">
        <v>1</v>
      </c>
      <c r="H24" s="25">
        <f>F24 * G24 * 25612.880653</f>
        <v>1536.7728391799999</v>
      </c>
      <c r="I24" s="25">
        <f>F24 * G24 * 55695.558959</f>
        <v>3341.7335375399998</v>
      </c>
      <c r="J24" s="25">
        <f>F24 * G24 * 0</f>
        <v>0</v>
      </c>
      <c r="K24" s="25">
        <f>F24 * G24 * 24383.462381</f>
        <v>1463.00774286</v>
      </c>
      <c r="L24" s="25">
        <f>F24 * G24 * 11690.927442</f>
        <v>701.45564651999996</v>
      </c>
      <c r="M24" s="25">
        <f>F24 * G24 * 5122.576131</f>
        <v>307.35456785999997</v>
      </c>
      <c r="N24" s="26">
        <f>SUM(H24:M24)</f>
        <v>7350.3243339600003</v>
      </c>
    </row>
    <row r="25" spans="2:14" ht="25.5">
      <c r="B25" s="20">
        <v>10</v>
      </c>
      <c r="C25" s="21" t="s">
        <v>64</v>
      </c>
      <c r="D25" s="22" t="s">
        <v>65</v>
      </c>
      <c r="E25" s="22" t="s">
        <v>51</v>
      </c>
      <c r="F25" s="23">
        <v>0.03</v>
      </c>
      <c r="G25" s="24">
        <v>1</v>
      </c>
      <c r="H25" s="25">
        <f>F25 * G25 * 29315.046259</f>
        <v>879.45138776999988</v>
      </c>
      <c r="I25" s="25">
        <f>F25 * G25 * 63028.869073</f>
        <v>1890.8660721900001</v>
      </c>
      <c r="J25" s="25">
        <f>F25 * G25 * 0</f>
        <v>0</v>
      </c>
      <c r="K25" s="25">
        <f>F25 * G25 * 27907.9240379999</f>
        <v>837.23772113999689</v>
      </c>
      <c r="L25" s="25">
        <f>F25 * G25 * 13305.1165299999</f>
        <v>399.15349589999994</v>
      </c>
      <c r="M25" s="25">
        <f>F25 * G25 * 5863.009252</f>
        <v>175.89027755999999</v>
      </c>
      <c r="N25" s="26">
        <f>SUM(H25:M25)</f>
        <v>4182.5989545599969</v>
      </c>
    </row>
    <row r="26" spans="2:14" s="17" customFormat="1" ht="12.75">
      <c r="B26" s="18"/>
      <c r="C26" s="19" t="s">
        <v>66</v>
      </c>
      <c r="D26" s="34" t="s">
        <v>67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</row>
    <row r="27" spans="2:14" s="17" customFormat="1" ht="12.75">
      <c r="B27" s="18"/>
      <c r="C27" s="19" t="s">
        <v>68</v>
      </c>
      <c r="D27" s="35" t="s">
        <v>69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2:14">
      <c r="B28" s="20">
        <v>11</v>
      </c>
      <c r="C28" s="21" t="s">
        <v>70</v>
      </c>
      <c r="D28" s="22" t="s">
        <v>71</v>
      </c>
      <c r="E28" s="22" t="s">
        <v>72</v>
      </c>
      <c r="F28" s="23">
        <v>0.16</v>
      </c>
      <c r="G28" s="24">
        <v>1</v>
      </c>
      <c r="H28" s="25">
        <f>F28 * G28 * 14193.504</f>
        <v>2270.9606400000002</v>
      </c>
      <c r="I28" s="25">
        <f>F28 * G28 * 11401.039579</f>
        <v>1824.1663326400001</v>
      </c>
      <c r="J28" s="25">
        <f>F28 * G28 * 0</f>
        <v>0</v>
      </c>
      <c r="K28" s="25">
        <f>F28 * G28 * 13512.2158079999</f>
        <v>2161.9545292799839</v>
      </c>
      <c r="L28" s="25">
        <f>F28 * G28 * 4425.24605</f>
        <v>708.03936799999997</v>
      </c>
      <c r="M28" s="25">
        <f>F28 * G28 * 2838.7008</f>
        <v>454.19212800000003</v>
      </c>
      <c r="N28" s="26">
        <f>SUM(H28:M28)</f>
        <v>7419.3129979199839</v>
      </c>
    </row>
    <row r="29" spans="2:14" s="17" customFormat="1" ht="12.75">
      <c r="B29" s="18"/>
      <c r="C29" s="19" t="s">
        <v>73</v>
      </c>
      <c r="D29" s="35" t="s">
        <v>74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2:14" ht="25.5">
      <c r="B30" s="20">
        <v>12</v>
      </c>
      <c r="C30" s="21" t="s">
        <v>75</v>
      </c>
      <c r="D30" s="22" t="s">
        <v>76</v>
      </c>
      <c r="E30" s="22" t="s">
        <v>77</v>
      </c>
      <c r="F30" s="23">
        <v>0.18</v>
      </c>
      <c r="G30" s="24">
        <v>1</v>
      </c>
      <c r="H30" s="25">
        <f>F30 * G30 * 28319.28</f>
        <v>5097.4703999999992</v>
      </c>
      <c r="I30" s="25">
        <f>F30 * G30 * 33943.594037</f>
        <v>6109.8469266600005</v>
      </c>
      <c r="J30" s="25">
        <f>F30 * G30 * 0</f>
        <v>0</v>
      </c>
      <c r="K30" s="25">
        <f>F30 * G30 * 26959.95456</f>
        <v>4852.7918207999992</v>
      </c>
      <c r="L30" s="25">
        <f>F30 * G30 * 10010.545225</f>
        <v>1801.8981405</v>
      </c>
      <c r="M30" s="25">
        <f>F30 * G30 * 5663.856</f>
        <v>1019.4940799999999</v>
      </c>
      <c r="N30" s="26">
        <f>SUM(H30:M30)</f>
        <v>18881.501367959998</v>
      </c>
    </row>
    <row r="31" spans="2:14" s="14" customFormat="1" ht="15">
      <c r="B31" s="15"/>
      <c r="C31" s="16" t="s">
        <v>78</v>
      </c>
      <c r="D31" s="33" t="s">
        <v>79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</row>
    <row r="32" spans="2:14" s="17" customFormat="1" ht="12.75">
      <c r="B32" s="18"/>
      <c r="C32" s="19" t="s">
        <v>80</v>
      </c>
      <c r="D32" s="34" t="s">
        <v>81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</row>
    <row r="33" spans="2:14" s="17" customFormat="1" ht="12.75">
      <c r="B33" s="18"/>
      <c r="C33" s="19" t="s">
        <v>82</v>
      </c>
      <c r="D33" s="35" t="s">
        <v>83</v>
      </c>
      <c r="E33" s="35"/>
      <c r="F33" s="35"/>
      <c r="G33" s="35"/>
      <c r="H33" s="35"/>
      <c r="I33" s="35"/>
      <c r="J33" s="35"/>
      <c r="K33" s="35"/>
      <c r="L33" s="35"/>
      <c r="M33" s="35"/>
      <c r="N33" s="35"/>
    </row>
    <row r="34" spans="2:14" ht="25.5">
      <c r="B34" s="20">
        <v>13</v>
      </c>
      <c r="C34" s="21" t="s">
        <v>84</v>
      </c>
      <c r="D34" s="22" t="s">
        <v>85</v>
      </c>
      <c r="E34" s="22" t="s">
        <v>86</v>
      </c>
      <c r="F34" s="23">
        <v>0.03</v>
      </c>
      <c r="G34" s="24">
        <v>1</v>
      </c>
      <c r="H34" s="25">
        <f>F34 * G34 * 37716.132</f>
        <v>1131.4839599999998</v>
      </c>
      <c r="I34" s="25">
        <f>F34 * G34 * 38056.982034</f>
        <v>1141.7094610199999</v>
      </c>
      <c r="J34" s="25">
        <f>F34 * G34 * 0</f>
        <v>0</v>
      </c>
      <c r="K34" s="25">
        <f>F34 * G34 * 35905.757664</f>
        <v>1077.1727299199999</v>
      </c>
      <c r="L34" s="25">
        <f>F34 * G34 * 12577.9313489999</f>
        <v>377.33794046999702</v>
      </c>
      <c r="M34" s="25">
        <f>F34 * G34 * 7543.2264</f>
        <v>226.29679199999998</v>
      </c>
      <c r="N34" s="26">
        <f>SUM(H34:M34)</f>
        <v>3954.0008834099972</v>
      </c>
    </row>
    <row r="35" spans="2:14" s="14" customFormat="1" ht="15">
      <c r="B35" s="15"/>
      <c r="C35" s="16" t="s">
        <v>87</v>
      </c>
      <c r="D35" s="33" t="s">
        <v>88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</row>
    <row r="36" spans="2:14" ht="25.5">
      <c r="B36" s="20">
        <v>14</v>
      </c>
      <c r="C36" s="21" t="s">
        <v>89</v>
      </c>
      <c r="D36" s="22" t="s">
        <v>90</v>
      </c>
      <c r="E36" s="22" t="s">
        <v>91</v>
      </c>
      <c r="F36" s="23">
        <v>1.1200000000000001</v>
      </c>
      <c r="G36" s="24">
        <v>1</v>
      </c>
      <c r="H36" s="25">
        <f>F36 * G36 * 2443.6344</f>
        <v>2736.8705280000004</v>
      </c>
      <c r="I36" s="25">
        <f>F36 * G36 * 600.324723</f>
        <v>672.36368976000006</v>
      </c>
      <c r="J36" s="25">
        <f>F36 * G36 * 0</f>
        <v>0</v>
      </c>
      <c r="K36" s="25">
        <f>F36 * G36 * 2326.339949</f>
        <v>2605.5007428800004</v>
      </c>
      <c r="L36" s="25">
        <f>F36 * G36 * 618.127237999999</f>
        <v>692.30250655999896</v>
      </c>
      <c r="M36" s="25">
        <f>F36 * G36 * 488.72688</f>
        <v>547.37410560000001</v>
      </c>
      <c r="N36" s="26">
        <f>SUM(H36:M36)</f>
        <v>7254.4115727999988</v>
      </c>
    </row>
    <row r="37" spans="2:14" s="17" customFormat="1" ht="12.75">
      <c r="B37" s="18"/>
      <c r="C37" s="19" t="s">
        <v>92</v>
      </c>
      <c r="D37" s="34" t="s">
        <v>93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</row>
    <row r="38" spans="2:14" ht="25.5">
      <c r="B38" s="20">
        <v>15</v>
      </c>
      <c r="C38" s="21" t="s">
        <v>94</v>
      </c>
      <c r="D38" s="22" t="s">
        <v>95</v>
      </c>
      <c r="E38" s="22" t="s">
        <v>51</v>
      </c>
      <c r="F38" s="23">
        <v>0.03</v>
      </c>
      <c r="G38" s="24">
        <v>1</v>
      </c>
      <c r="H38" s="25">
        <f>F38 * G38 * 14892.674832</f>
        <v>446.78024496</v>
      </c>
      <c r="I38" s="25">
        <f>F38 * G38 * 24214.966772</f>
        <v>726.44900315999996</v>
      </c>
      <c r="J38" s="25">
        <f>F38 * G38 * 1.114113</f>
        <v>3.3423389999999997E-2</v>
      </c>
      <c r="K38" s="25">
        <f>F38 * G38 * 14177.82644</f>
        <v>425.33479319999998</v>
      </c>
      <c r="L38" s="25">
        <f>F38 * G38 * 5935.969857</f>
        <v>178.07909570999999</v>
      </c>
      <c r="M38" s="25">
        <f>F38 * G38 * 2978.534966</f>
        <v>89.356048979999997</v>
      </c>
      <c r="N38" s="26">
        <f>SUM(H38:M38)</f>
        <v>1866.0326094</v>
      </c>
    </row>
    <row r="39" spans="2:14" s="14" customFormat="1" ht="15">
      <c r="B39" s="15"/>
      <c r="C39" s="16" t="s">
        <v>96</v>
      </c>
      <c r="D39" s="33" t="s">
        <v>97</v>
      </c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0" spans="2:14" s="17" customFormat="1" ht="12.75">
      <c r="B40" s="18"/>
      <c r="C40" s="19" t="s">
        <v>98</v>
      </c>
      <c r="D40" s="34" t="s">
        <v>99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</row>
    <row r="41" spans="2:14" ht="25.5">
      <c r="B41" s="20">
        <v>16</v>
      </c>
      <c r="C41" s="21" t="s">
        <v>100</v>
      </c>
      <c r="D41" s="22" t="s">
        <v>101</v>
      </c>
      <c r="E41" s="22" t="s">
        <v>102</v>
      </c>
      <c r="F41" s="23">
        <v>1</v>
      </c>
      <c r="G41" s="24">
        <v>2</v>
      </c>
      <c r="H41" s="25">
        <f>F41 * G41 * 709.6752</f>
        <v>1419.3504</v>
      </c>
      <c r="I41" s="25">
        <f>F41 * G41 * 0</f>
        <v>0</v>
      </c>
      <c r="J41" s="25">
        <f>F41 * G41 * 0</f>
        <v>0</v>
      </c>
      <c r="K41" s="25">
        <f>F41 * G41 * 675.61079</f>
        <v>1351.2215799999999</v>
      </c>
      <c r="L41" s="25">
        <f>F41 * G41 * 161.121819</f>
        <v>322.24363799999998</v>
      </c>
      <c r="M41" s="25">
        <f>F41 * G41 * 141.93504</f>
        <v>283.87007999999997</v>
      </c>
      <c r="N41" s="26">
        <f>SUM(H41:M41)</f>
        <v>3376.6856979999998</v>
      </c>
    </row>
    <row r="42" spans="2:14" s="17" customFormat="1" ht="12.75">
      <c r="B42" s="18"/>
      <c r="C42" s="19" t="s">
        <v>103</v>
      </c>
      <c r="D42" s="34" t="s">
        <v>104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</row>
    <row r="43" spans="2:14" s="17" customFormat="1" ht="12.75">
      <c r="B43" s="18"/>
      <c r="C43" s="19" t="s">
        <v>105</v>
      </c>
      <c r="D43" s="35" t="s">
        <v>106</v>
      </c>
      <c r="E43" s="35"/>
      <c r="F43" s="35"/>
      <c r="G43" s="35"/>
      <c r="H43" s="35"/>
      <c r="I43" s="35"/>
      <c r="J43" s="35"/>
      <c r="K43" s="35"/>
      <c r="L43" s="35"/>
      <c r="M43" s="35"/>
      <c r="N43" s="35"/>
    </row>
    <row r="44" spans="2:14" ht="38.25">
      <c r="B44" s="20">
        <v>17</v>
      </c>
      <c r="C44" s="21" t="s">
        <v>107</v>
      </c>
      <c r="D44" s="22" t="s">
        <v>108</v>
      </c>
      <c r="E44" s="22" t="s">
        <v>109</v>
      </c>
      <c r="F44" s="23">
        <v>0.5</v>
      </c>
      <c r="G44" s="24">
        <v>1</v>
      </c>
      <c r="H44" s="25">
        <f>F44 * G44 * 1091.808</f>
        <v>545.904</v>
      </c>
      <c r="I44" s="25">
        <f>F44 * G44 * 0</f>
        <v>0</v>
      </c>
      <c r="J44" s="25">
        <f>F44 * G44 * 0</f>
        <v>0</v>
      </c>
      <c r="K44" s="25">
        <f>F44 * G44 * 1039.401216</f>
        <v>519.70060799999999</v>
      </c>
      <c r="L44" s="25">
        <f>F44 * G44 * 247.879721</f>
        <v>123.93986049999999</v>
      </c>
      <c r="M44" s="25">
        <f>F44 * G44 * 218.3616</f>
        <v>109.1808</v>
      </c>
      <c r="N44" s="26">
        <f>SUM(H44:M44)</f>
        <v>1298.7252685000001</v>
      </c>
    </row>
    <row r="45" spans="2:14" s="17" customFormat="1" ht="12.75">
      <c r="B45" s="18"/>
      <c r="C45" s="19" t="s">
        <v>110</v>
      </c>
      <c r="D45" s="35" t="s">
        <v>111</v>
      </c>
      <c r="E45" s="35"/>
      <c r="F45" s="35"/>
      <c r="G45" s="35"/>
      <c r="H45" s="35"/>
      <c r="I45" s="35"/>
      <c r="J45" s="35"/>
      <c r="K45" s="35"/>
      <c r="L45" s="35"/>
      <c r="M45" s="35"/>
      <c r="N45" s="35"/>
    </row>
    <row r="46" spans="2:14" ht="25.5">
      <c r="B46" s="20">
        <v>18</v>
      </c>
      <c r="C46" s="21" t="s">
        <v>112</v>
      </c>
      <c r="D46" s="22" t="s">
        <v>113</v>
      </c>
      <c r="E46" s="22" t="s">
        <v>51</v>
      </c>
      <c r="F46" s="23">
        <v>19.2</v>
      </c>
      <c r="G46" s="24">
        <v>1</v>
      </c>
      <c r="H46" s="25">
        <f>F46 * G46 * 950.793</f>
        <v>18255.225599999998</v>
      </c>
      <c r="I46" s="25">
        <f>F46 * G46 * 7.170829</f>
        <v>137.6799168</v>
      </c>
      <c r="J46" s="25">
        <f>F46 * G46 * 0</f>
        <v>0</v>
      </c>
      <c r="K46" s="25">
        <f>F46 * G46 * 905.154935999999</f>
        <v>17378.974771199981</v>
      </c>
      <c r="L46" s="25">
        <f>F46 * G46 * 216.620762</f>
        <v>4159.1186304000003</v>
      </c>
      <c r="M46" s="25">
        <f>F46 * G46 * 190.1586</f>
        <v>3651.0451200000002</v>
      </c>
      <c r="N46" s="26">
        <f>SUM(H46:M46)</f>
        <v>43582.044038399981</v>
      </c>
    </row>
    <row r="47" spans="2:14" ht="25.5">
      <c r="B47" s="20">
        <v>19</v>
      </c>
      <c r="C47" s="21" t="s">
        <v>114</v>
      </c>
      <c r="D47" s="22" t="s">
        <v>115</v>
      </c>
      <c r="E47" s="22" t="s">
        <v>51</v>
      </c>
      <c r="F47" s="23">
        <v>19.2</v>
      </c>
      <c r="G47" s="24">
        <v>1</v>
      </c>
      <c r="H47" s="25">
        <f>F47 * G47 * 400.009997</f>
        <v>7680.1919423999998</v>
      </c>
      <c r="I47" s="25">
        <f>F47 * G47 * 0</f>
        <v>0</v>
      </c>
      <c r="J47" s="25">
        <f>F47 * G47 * 68.046825</f>
        <v>1306.4990399999999</v>
      </c>
      <c r="K47" s="25">
        <f>F47 * G47 * 380.809517</f>
        <v>7311.5427264</v>
      </c>
      <c r="L47" s="25">
        <f>F47 * G47 * 97.99561</f>
        <v>1881.5157119999999</v>
      </c>
      <c r="M47" s="25">
        <f>F47 * G47 * 80.001999</f>
        <v>1536.0383807999999</v>
      </c>
      <c r="N47" s="26">
        <f>SUM(H47:M47)</f>
        <v>19715.7878016</v>
      </c>
    </row>
    <row r="48" spans="2:14" s="17" customFormat="1" ht="12.75">
      <c r="B48" s="18"/>
      <c r="C48" s="19" t="s">
        <v>116</v>
      </c>
      <c r="D48" s="35" t="s">
        <v>117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</row>
    <row r="49" spans="2:14" ht="25.5">
      <c r="B49" s="20">
        <v>20</v>
      </c>
      <c r="C49" s="21" t="s">
        <v>118</v>
      </c>
      <c r="D49" s="22" t="s">
        <v>119</v>
      </c>
      <c r="E49" s="22" t="s">
        <v>120</v>
      </c>
      <c r="F49" s="23">
        <v>57.6</v>
      </c>
      <c r="G49" s="24">
        <v>1</v>
      </c>
      <c r="H49" s="25">
        <f>F49 * G49 * 223.97976</f>
        <v>12901.234176</v>
      </c>
      <c r="I49" s="25">
        <f>F49 * G49 * 0</f>
        <v>0</v>
      </c>
      <c r="J49" s="25">
        <f>F49 * G49 * 0</f>
        <v>0</v>
      </c>
      <c r="K49" s="25">
        <f>F49 * G49 * 213.228732</f>
        <v>12281.9749632</v>
      </c>
      <c r="L49" s="25">
        <f>F49 * G49 * 50.8514689999999</f>
        <v>2929.0446143999943</v>
      </c>
      <c r="M49" s="25">
        <f>F49 * G49 * 44.795952</f>
        <v>2580.2468352000001</v>
      </c>
      <c r="N49" s="26">
        <f>SUM(H49:M49)</f>
        <v>30692.500588799994</v>
      </c>
    </row>
    <row r="50" spans="2:14" s="17" customFormat="1" ht="12.75">
      <c r="B50" s="18"/>
      <c r="C50" s="19" t="s">
        <v>121</v>
      </c>
      <c r="D50" s="35" t="s">
        <v>122</v>
      </c>
      <c r="E50" s="35"/>
      <c r="F50" s="35"/>
      <c r="G50" s="35"/>
      <c r="H50" s="35"/>
      <c r="I50" s="35"/>
      <c r="J50" s="35"/>
      <c r="K50" s="35"/>
      <c r="L50" s="35"/>
      <c r="M50" s="35"/>
      <c r="N50" s="35"/>
    </row>
    <row r="51" spans="2:14" s="17" customFormat="1" ht="12.75">
      <c r="B51" s="18"/>
      <c r="C51" s="19" t="s">
        <v>123</v>
      </c>
      <c r="D51" s="36" t="s">
        <v>124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</row>
    <row r="52" spans="2:14" ht="25.5">
      <c r="B52" s="20">
        <v>21</v>
      </c>
      <c r="C52" s="21" t="s">
        <v>125</v>
      </c>
      <c r="D52" s="22" t="s">
        <v>126</v>
      </c>
      <c r="E52" s="22" t="s">
        <v>127</v>
      </c>
      <c r="F52" s="23">
        <v>0.53</v>
      </c>
      <c r="G52" s="24">
        <v>1</v>
      </c>
      <c r="H52" s="25">
        <f>F52 * G52 * 13548.864</f>
        <v>7180.8979200000003</v>
      </c>
      <c r="I52" s="25">
        <f>F52 * G52 * 0</f>
        <v>0</v>
      </c>
      <c r="J52" s="25">
        <f>F52 * G52 * 0</f>
        <v>0</v>
      </c>
      <c r="K52" s="25">
        <f>F52 * G52 * 12898.518528</f>
        <v>6836.2148198400009</v>
      </c>
      <c r="L52" s="25">
        <f>F52 * G52 * 3076.079887</f>
        <v>1630.3223401099999</v>
      </c>
      <c r="M52" s="25">
        <f>F52 * G52 * 2709.7728</f>
        <v>1436.1795840000002</v>
      </c>
      <c r="N52" s="26">
        <f>SUM(H52:M52)</f>
        <v>17083.614663950004</v>
      </c>
    </row>
    <row r="53" spans="2:14" s="27" customFormat="1" ht="20.100000000000001" customHeight="1">
      <c r="B53" s="37" t="s">
        <v>128</v>
      </c>
      <c r="C53" s="37"/>
      <c r="D53" s="37"/>
      <c r="E53" s="37"/>
      <c r="F53" s="37"/>
      <c r="G53" s="37"/>
      <c r="H53" s="28">
        <f t="shared" ref="H53:N53" si="0">SUM(H4:H52)</f>
        <v>68019.806040859985</v>
      </c>
      <c r="I53" s="28">
        <f t="shared" si="0"/>
        <v>30174.495996043006</v>
      </c>
      <c r="J53" s="28">
        <f t="shared" si="0"/>
        <v>1306.53246339</v>
      </c>
      <c r="K53" s="28">
        <f t="shared" si="0"/>
        <v>64754.855375241961</v>
      </c>
      <c r="L53" s="28">
        <f t="shared" si="0"/>
        <v>18764.193204804989</v>
      </c>
      <c r="M53" s="28">
        <f t="shared" si="0"/>
        <v>13603.961200510001</v>
      </c>
      <c r="N53" s="29">
        <f t="shared" si="0"/>
        <v>196623.84428084994</v>
      </c>
    </row>
  </sheetData>
  <mergeCells count="32">
    <mergeCell ref="D51:N51"/>
    <mergeCell ref="B53:G53"/>
    <mergeCell ref="D42:N42"/>
    <mergeCell ref="D43:N43"/>
    <mergeCell ref="D45:N45"/>
    <mergeCell ref="D48:N48"/>
    <mergeCell ref="D50:N50"/>
    <mergeCell ref="D33:N33"/>
    <mergeCell ref="D35:N35"/>
    <mergeCell ref="D37:N37"/>
    <mergeCell ref="D39:N39"/>
    <mergeCell ref="D40:N40"/>
    <mergeCell ref="D26:N26"/>
    <mergeCell ref="D27:N27"/>
    <mergeCell ref="D29:N29"/>
    <mergeCell ref="D31:N31"/>
    <mergeCell ref="D32:N32"/>
    <mergeCell ref="D13:N13"/>
    <mergeCell ref="D15:N15"/>
    <mergeCell ref="D16:N16"/>
    <mergeCell ref="D17:N17"/>
    <mergeCell ref="D22:N22"/>
    <mergeCell ref="D7:N7"/>
    <mergeCell ref="D8:N8"/>
    <mergeCell ref="D9:N9"/>
    <mergeCell ref="D10:N10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&amp;C&amp;KCCCCCC&amp;"Arial"Демонстрации 138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Демонстрации 138</dc:title>
  <dc:creator/>
  <cp:lastModifiedBy/>
  <cp:lastPrinted>2022-03-21T13:46:00Z</cp:lastPrinted>
  <dcterms:created xsi:type="dcterms:W3CDTF">2022-03-21T13:46:00Z</dcterms:created>
  <dcterms:modified xsi:type="dcterms:W3CDTF">2022-03-21T13:46:56Z</dcterms:modified>
</cp:coreProperties>
</file>