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36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47" i="1"/>
  <c r="L47"/>
  <c r="K47"/>
  <c r="J47"/>
  <c r="I47"/>
  <c r="H47"/>
  <c r="N47" s="1"/>
  <c r="M45"/>
  <c r="L45"/>
  <c r="K45"/>
  <c r="J45"/>
  <c r="I45"/>
  <c r="H45"/>
  <c r="N45" s="1"/>
  <c r="M44"/>
  <c r="L44"/>
  <c r="K44"/>
  <c r="J44"/>
  <c r="I44"/>
  <c r="H44"/>
  <c r="N44" s="1"/>
  <c r="M42"/>
  <c r="L42"/>
  <c r="K42"/>
  <c r="J42"/>
  <c r="N42" s="1"/>
  <c r="I42"/>
  <c r="H42"/>
  <c r="M41"/>
  <c r="L41"/>
  <c r="K41"/>
  <c r="J41"/>
  <c r="I41"/>
  <c r="H41"/>
  <c r="N41" s="1"/>
  <c r="M37"/>
  <c r="L37"/>
  <c r="K37"/>
  <c r="J37"/>
  <c r="I37"/>
  <c r="H37"/>
  <c r="N37" s="1"/>
  <c r="M36"/>
  <c r="L36"/>
  <c r="K36"/>
  <c r="J36"/>
  <c r="I36"/>
  <c r="H36"/>
  <c r="N36" s="1"/>
  <c r="M34"/>
  <c r="L34"/>
  <c r="K34"/>
  <c r="J34"/>
  <c r="N34" s="1"/>
  <c r="I34"/>
  <c r="H34"/>
  <c r="M32"/>
  <c r="L32"/>
  <c r="K32"/>
  <c r="J32"/>
  <c r="I32"/>
  <c r="H32"/>
  <c r="N32" s="1"/>
  <c r="M30"/>
  <c r="L30"/>
  <c r="K30"/>
  <c r="J30"/>
  <c r="I30"/>
  <c r="H30"/>
  <c r="N30" s="1"/>
  <c r="M28"/>
  <c r="L28"/>
  <c r="K28"/>
  <c r="J28"/>
  <c r="I28"/>
  <c r="H28"/>
  <c r="N28" s="1"/>
  <c r="M26"/>
  <c r="L26"/>
  <c r="K26"/>
  <c r="J26"/>
  <c r="N26" s="1"/>
  <c r="I26"/>
  <c r="H26"/>
  <c r="M22"/>
  <c r="L22"/>
  <c r="K22"/>
  <c r="J22"/>
  <c r="I22"/>
  <c r="H22"/>
  <c r="N22" s="1"/>
  <c r="M19"/>
  <c r="L19"/>
  <c r="K19"/>
  <c r="J19"/>
  <c r="I19"/>
  <c r="H19"/>
  <c r="N19" s="1"/>
  <c r="M17"/>
  <c r="L17"/>
  <c r="K17"/>
  <c r="J17"/>
  <c r="I17"/>
  <c r="H17"/>
  <c r="N17" s="1"/>
  <c r="M13"/>
  <c r="L13"/>
  <c r="K13"/>
  <c r="J13"/>
  <c r="N13" s="1"/>
  <c r="I13"/>
  <c r="H13"/>
  <c r="M10"/>
  <c r="L10"/>
  <c r="K10"/>
  <c r="J10"/>
  <c r="I10"/>
  <c r="H10"/>
  <c r="N10" s="1"/>
  <c r="M6"/>
  <c r="M48" s="1"/>
  <c r="L6"/>
  <c r="L48" s="1"/>
  <c r="K6"/>
  <c r="K48" s="1"/>
  <c r="J6"/>
  <c r="I6"/>
  <c r="I48" s="1"/>
  <c r="H6"/>
  <c r="H48" s="1"/>
  <c r="J48" l="1"/>
  <c r="N6"/>
  <c r="N48" s="1"/>
</calcChain>
</file>

<file path=xl/sharedStrings.xml><?xml version="1.0" encoding="utf-8"?>
<sst xmlns="http://schemas.openxmlformats.org/spreadsheetml/2006/main" count="126" uniqueCount="120">
  <si>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</si>
  <si>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</si>
  <si>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</si>
  <si>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</si>
  <si>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</si>
  <si>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</si>
  <si>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</si>
  <si>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</si>
  <si>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</si>
  <si>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</si>
  <si>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</si>
  <si>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</si>
  <si>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</si>
  <si>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</si>
  <si>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Демонстрации 144</t>
  </si>
  <si>
    <t>Дата изменения:</t>
  </si>
  <si>
    <t>21.03.2022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</si>
  <si>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</si>
  <si>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</si>
  <si>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</si>
  <si>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</si>
  <si>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</si>
  <si>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</si>
  <si>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</si>
  <si>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</si>
  <si>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1.2</t>
  </si>
  <si>
    <t>Кирпичные, каменные и железобетонные стены</t>
  </si>
  <si>
    <t>1.2.1</t>
  </si>
  <si>
    <t>Устранение повреждений стен, в том числе в подвалах и чердаках</t>
  </si>
  <si>
    <t>1.2.1.1</t>
  </si>
  <si>
    <t>Устранение  повреждений кирпичных  стен, в том  числе в  подвалах и  чердаках</t>
  </si>
  <si>
    <t>1.2.1.1.1</t>
  </si>
  <si>
    <t>Кладка отдельных участков кирпичных стен и заделка проемов, отверстий или гнезд до 50 кирпичей</t>
  </si>
  <si>
    <t>1 м3 кладки</t>
  </si>
  <si>
    <t>1.9</t>
  </si>
  <si>
    <t>Оконные и дверные проемы</t>
  </si>
  <si>
    <t>1.9.1</t>
  </si>
  <si>
    <t>Восстановление (ремонт) дверей в помещениях  общего  пользования</t>
  </si>
  <si>
    <t>1.9.1.19</t>
  </si>
  <si>
    <t>Смена замков накладных</t>
  </si>
  <si>
    <t>100 замков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</si>
  <si>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</si>
  <si>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</si>
  <si>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</si>
  <si>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</si>
  <si>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2.1.2.2</t>
  </si>
  <si>
    <t>Смена отдельных участков трубопроводов из стальных электросварных труб</t>
  </si>
  <si>
    <t>2.1.2.2.1</t>
  </si>
  <si>
    <t>Смена отдельных участков трубопроводов из стальных электросварных труб  диаметром 40 мм</t>
  </si>
  <si>
    <t>100 м трубопровода</t>
  </si>
  <si>
    <t>2.1.5</t>
  </si>
  <si>
    <t>Восстановление теплоизоляции  систем  теплоснабжения</t>
  </si>
  <si>
    <t>2.1.5.1</t>
  </si>
  <si>
    <t>Утепление трубопровода центрального отопления (водоснабжения)</t>
  </si>
  <si>
    <t>100 м2 утепленного участка</t>
  </si>
  <si>
    <t>2.1.8</t>
  </si>
  <si>
    <t>Ремонт  насосов,  магистральной запорной арматуры,  автоматических устройств</t>
  </si>
  <si>
    <t>2.1.8.9</t>
  </si>
  <si>
    <t>Установка кранов для спуска воздуха из системы</t>
  </si>
  <si>
    <t>2.1.8.9.1</t>
  </si>
  <si>
    <t>Установка кранов для спуска воздуха из системы, диаметр крана 15-20 мм</t>
  </si>
  <si>
    <t>100 кранов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</si>
  <si>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</si>
  <si>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</si>
  <si>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</si>
  <si>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</si>
  <si>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2.2.1.1</t>
  </si>
  <si>
    <t>Смена отдельных участков трубопроводов  горячего водоснабжения из стальных водогазопроводных оцинкованных труб при соединении труб на резьбе</t>
  </si>
  <si>
    <t>2.2.1.1.2</t>
  </si>
  <si>
    <t>Смена отдельных участков трубопроводов   водоснабжения из стальных водогазопроводных оцинкованных труб диаметром  20 мм</t>
  </si>
  <si>
    <t>100 м трубопроводов</t>
  </si>
  <si>
    <t>2.2.1.7</t>
  </si>
  <si>
    <t>Смена сгонов у трубопроводов</t>
  </si>
  <si>
    <t>2.2.1.7.1</t>
  </si>
  <si>
    <t>Смена сгонов у трубопроводов диаметром до 20 мм</t>
  </si>
  <si>
    <t>100 сгонов</t>
  </si>
  <si>
    <t>2.2.1.8</t>
  </si>
  <si>
    <t>Уплотнение сгонов</t>
  </si>
  <si>
    <t>2.2.1.8.1</t>
  </si>
  <si>
    <t>Уплотнение сгонов с применением льняной пряди или асбестового шнура (без разборки сгонов) диаметром до 20 мм</t>
  </si>
  <si>
    <t>1 сгон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</si>
  <si>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</si>
  <si>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</si>
  <si>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</si>
  <si>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</si>
  <si>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</si>
  <si>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</si>
  <si>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</si>
  <si>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</si>
  <si>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</si>
  <si>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2.3.10</t>
  </si>
  <si>
    <t>Прокладка внутренних трубопроводов канализации из полипропиленовых труб</t>
  </si>
  <si>
    <t>2.3.10.1</t>
  </si>
  <si>
    <t>Прокладка внутренних трубопроводов канализации из полипропиленовых труб диаметром 50 мм</t>
  </si>
  <si>
    <t>2.3.10.2</t>
  </si>
  <si>
    <t>Прокладка внутренних трубопроводов канализации из полипропиленовых труб диаметром 110 мм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</si>
  <si>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</si>
  <si>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</si>
  <si>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</si>
  <si>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</si>
  <si>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2.6.14.1</t>
  </si>
  <si>
    <t>Осмотр системы центрального отопления</t>
  </si>
  <si>
    <t>2.6.14.1.1</t>
  </si>
  <si>
    <t>Осмотр внутриквартирных устройств системы центрального отопления</t>
  </si>
  <si>
    <t>1000 кв.м. общей площади</t>
  </si>
  <si>
    <t>2.6.14.1.2</t>
  </si>
  <si>
    <t>Осмотр устройства системы центрального отопления в чердачных и подвальных помещениях</t>
  </si>
  <si>
    <t>1000 м2 осматриваемых помещений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</si>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</sst>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8"/>
  <sheetViews>
    <sheetView tabSelected="1" workbookViewId="0">
      <pane ySplit="1" topLeftCell="A2" activePane="bottomLeft" state="frozen"/>
      <selection pane="bottomLeft" activeCell="D7" sqref="D7:N7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0.14000000000000001</v>
      </c>
      <c r="G6" s="24">
        <v>1</v>
      </c>
      <c r="H6" s="25">
        <f>F6 * G6 * 1717.8024</f>
        <v>240.49233600000002</v>
      </c>
      <c r="I6" s="25">
        <f>F6 * G6 * 2684.13</f>
        <v>375.77820000000003</v>
      </c>
      <c r="J6" s="25">
        <f>F6 * G6 * 0</f>
        <v>0</v>
      </c>
      <c r="K6" s="25">
        <f>F6 * G6 * 1635.347885</f>
        <v>228.9487039</v>
      </c>
      <c r="L6" s="25">
        <f>F6 * G6 * 673.178701</f>
        <v>94.245018140000013</v>
      </c>
      <c r="M6" s="25">
        <f>F6 * G6 * 343.56048</f>
        <v>48.098467200000002</v>
      </c>
      <c r="N6" s="26">
        <f>SUM(H6:M6)</f>
        <v>987.56272523999996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25.5">
      <c r="B10" s="20">
        <v>2</v>
      </c>
      <c r="C10" s="21" t="s">
        <v>31</v>
      </c>
      <c r="D10" s="22" t="s">
        <v>32</v>
      </c>
      <c r="E10" s="22" t="s">
        <v>33</v>
      </c>
      <c r="F10" s="23">
        <v>2</v>
      </c>
      <c r="G10" s="24">
        <v>1</v>
      </c>
      <c r="H10" s="25">
        <f>F10 * G10 * 2156.04</f>
        <v>4312.08</v>
      </c>
      <c r="I10" s="25">
        <f>F10 * G10 * 4374.718345</f>
        <v>8749.4366900000005</v>
      </c>
      <c r="J10" s="25">
        <f>F10 * G10 * 792.86592</f>
        <v>1585.7318399999999</v>
      </c>
      <c r="K10" s="25">
        <f>F10 * G10 * 2052.55008</f>
        <v>4105.10016</v>
      </c>
      <c r="L10" s="25">
        <f>F10 * G10 * 1034.678838</f>
        <v>2069.3576760000001</v>
      </c>
      <c r="M10" s="25">
        <f>F10 * G10 * 431.208</f>
        <v>862.41600000000005</v>
      </c>
      <c r="N10" s="26">
        <f>SUM(H10:M10)</f>
        <v>21684.122366</v>
      </c>
    </row>
    <row r="11" spans="1:14" s="14" customFormat="1" ht="15">
      <c r="B11" s="15"/>
      <c r="C11" s="16" t="s">
        <v>34</v>
      </c>
      <c r="D11" s="33" t="s">
        <v>35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s="17" customFormat="1" ht="12.75">
      <c r="B12" s="18"/>
      <c r="C12" s="19" t="s">
        <v>36</v>
      </c>
      <c r="D12" s="34" t="s">
        <v>37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1:14">
      <c r="B13" s="20">
        <v>3</v>
      </c>
      <c r="C13" s="21" t="s">
        <v>38</v>
      </c>
      <c r="D13" s="22" t="s">
        <v>39</v>
      </c>
      <c r="E13" s="22" t="s">
        <v>40</v>
      </c>
      <c r="F13" s="23">
        <v>0.01</v>
      </c>
      <c r="G13" s="24">
        <v>1</v>
      </c>
      <c r="H13" s="25">
        <f>F13 * G13 * 25839.6192</f>
        <v>258.39619200000004</v>
      </c>
      <c r="I13" s="25">
        <f>F13 * G13 * 53244.206856</f>
        <v>532.44206855999994</v>
      </c>
      <c r="J13" s="25">
        <f>F13 * G13 * 0</f>
        <v>0</v>
      </c>
      <c r="K13" s="25">
        <f>F13 * G13 * 24599.3174779999</f>
        <v>245.99317477999898</v>
      </c>
      <c r="L13" s="25">
        <f>F13 * G13 * 11483.787608</f>
        <v>114.83787608</v>
      </c>
      <c r="M13" s="25">
        <f>F13 * G13 * 5167.92384</f>
        <v>51.679238400000003</v>
      </c>
      <c r="N13" s="26">
        <f>SUM(H13:M13)</f>
        <v>1203.3485498199989</v>
      </c>
    </row>
    <row r="14" spans="1:14" s="14" customFormat="1" ht="15">
      <c r="B14" s="15"/>
      <c r="C14" s="16" t="s">
        <v>41</v>
      </c>
      <c r="D14" s="33" t="s">
        <v>42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</row>
    <row r="15" spans="1:14" s="17" customFormat="1" ht="12.75">
      <c r="B15" s="18"/>
      <c r="C15" s="19" t="s">
        <v>43</v>
      </c>
      <c r="D15" s="34" t="s">
        <v>44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14" s="17" customFormat="1" ht="12.75">
      <c r="B16" s="18"/>
      <c r="C16" s="19" t="s">
        <v>45</v>
      </c>
      <c r="D16" s="35" t="s">
        <v>46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</row>
    <row r="17" spans="2:14" ht="25.5">
      <c r="B17" s="20">
        <v>4</v>
      </c>
      <c r="C17" s="21" t="s">
        <v>47</v>
      </c>
      <c r="D17" s="22" t="s">
        <v>48</v>
      </c>
      <c r="E17" s="22" t="s">
        <v>49</v>
      </c>
      <c r="F17" s="23">
        <v>0.12</v>
      </c>
      <c r="G17" s="24">
        <v>1</v>
      </c>
      <c r="H17" s="25">
        <f>F17 * G17 * 16064.49</f>
        <v>1927.7387999999999</v>
      </c>
      <c r="I17" s="25">
        <f>F17 * G17 * 32297.112501</f>
        <v>3875.65350012</v>
      </c>
      <c r="J17" s="25">
        <f>F17 * G17 * 0</f>
        <v>0</v>
      </c>
      <c r="K17" s="25">
        <f>F17 * G17 * 15293.3944799999</f>
        <v>1835.207337599988</v>
      </c>
      <c r="L17" s="25">
        <f>F17 * G17 * 7054.562921</f>
        <v>846.54755051999996</v>
      </c>
      <c r="M17" s="25">
        <f>F17 * G17 * 3212.898</f>
        <v>385.54775999999998</v>
      </c>
      <c r="N17" s="26">
        <f>SUM(H17:M17)</f>
        <v>8870.6949482399868</v>
      </c>
    </row>
    <row r="18" spans="2:14" s="17" customFormat="1" ht="12.75">
      <c r="B18" s="18"/>
      <c r="C18" s="19" t="s">
        <v>50</v>
      </c>
      <c r="D18" s="34" t="s">
        <v>51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</row>
    <row r="19" spans="2:14" ht="25.5">
      <c r="B19" s="20">
        <v>5</v>
      </c>
      <c r="C19" s="21" t="s">
        <v>52</v>
      </c>
      <c r="D19" s="22" t="s">
        <v>53</v>
      </c>
      <c r="E19" s="22" t="s">
        <v>54</v>
      </c>
      <c r="F19" s="23">
        <v>0.17</v>
      </c>
      <c r="G19" s="24">
        <v>1</v>
      </c>
      <c r="H19" s="25">
        <f>F19 * G19 * 22932.558</f>
        <v>3898.5348600000002</v>
      </c>
      <c r="I19" s="25">
        <f>F19 * G19 * 268334.370084</f>
        <v>45616.842914280001</v>
      </c>
      <c r="J19" s="25">
        <f>F19 * G19 * 0</f>
        <v>0</v>
      </c>
      <c r="K19" s="25">
        <f>F19 * G19 * 21831.795216</f>
        <v>3711.4051867200001</v>
      </c>
      <c r="L19" s="25">
        <f>F19 * G19 * 33515.792282</f>
        <v>5697.6846879400009</v>
      </c>
      <c r="M19" s="25">
        <f>F19 * G19 * 4586.5116</f>
        <v>779.70697200000006</v>
      </c>
      <c r="N19" s="26">
        <f>SUM(H19:M19)</f>
        <v>59704.174620940008</v>
      </c>
    </row>
    <row r="20" spans="2:14" s="17" customFormat="1" ht="12.75">
      <c r="B20" s="18"/>
      <c r="C20" s="19" t="s">
        <v>55</v>
      </c>
      <c r="D20" s="34" t="s">
        <v>56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</row>
    <row r="21" spans="2:14" s="17" customFormat="1" ht="12.75">
      <c r="B21" s="18"/>
      <c r="C21" s="19" t="s">
        <v>57</v>
      </c>
      <c r="D21" s="35" t="s">
        <v>58</v>
      </c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2:14" ht="25.5">
      <c r="B22" s="20">
        <v>6</v>
      </c>
      <c r="C22" s="21" t="s">
        <v>59</v>
      </c>
      <c r="D22" s="22" t="s">
        <v>60</v>
      </c>
      <c r="E22" s="22" t="s">
        <v>61</v>
      </c>
      <c r="F22" s="23">
        <v>0.08</v>
      </c>
      <c r="G22" s="24">
        <v>1</v>
      </c>
      <c r="H22" s="25">
        <f>F22 * G22 * 28319.28</f>
        <v>2265.5423999999998</v>
      </c>
      <c r="I22" s="25">
        <f>F22 * G22 * 33943.594037</f>
        <v>2715.4875229600002</v>
      </c>
      <c r="J22" s="25">
        <f>F22 * G22 * 0</f>
        <v>0</v>
      </c>
      <c r="K22" s="25">
        <f>F22 * G22 * 26959.95456</f>
        <v>2156.7963648</v>
      </c>
      <c r="L22" s="25">
        <f>F22 * G22 * 10010.545225</f>
        <v>800.84361799999999</v>
      </c>
      <c r="M22" s="25">
        <f>F22 * G22 * 5663.856</f>
        <v>453.10847999999999</v>
      </c>
      <c r="N22" s="26">
        <f>SUM(H22:M22)</f>
        <v>8391.7783857600007</v>
      </c>
    </row>
    <row r="23" spans="2:14" s="14" customFormat="1" ht="15">
      <c r="B23" s="15"/>
      <c r="C23" s="16" t="s">
        <v>62</v>
      </c>
      <c r="D23" s="33" t="s">
        <v>63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</row>
    <row r="24" spans="2:14" s="17" customFormat="1" ht="12.75">
      <c r="B24" s="18"/>
      <c r="C24" s="19" t="s">
        <v>64</v>
      </c>
      <c r="D24" s="34" t="s">
        <v>65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</row>
    <row r="25" spans="2:14" s="17" customFormat="1" ht="12.75">
      <c r="B25" s="18"/>
      <c r="C25" s="19" t="s">
        <v>66</v>
      </c>
      <c r="D25" s="35" t="s">
        <v>67</v>
      </c>
      <c r="E25" s="35"/>
      <c r="F25" s="35"/>
      <c r="G25" s="35"/>
      <c r="H25" s="35"/>
      <c r="I25" s="35"/>
      <c r="J25" s="35"/>
      <c r="K25" s="35"/>
      <c r="L25" s="35"/>
      <c r="M25" s="35"/>
      <c r="N25" s="35"/>
    </row>
    <row r="26" spans="2:14" ht="38.25">
      <c r="B26" s="20">
        <v>7</v>
      </c>
      <c r="C26" s="21" t="s">
        <v>68</v>
      </c>
      <c r="D26" s="22" t="s">
        <v>69</v>
      </c>
      <c r="E26" s="22" t="s">
        <v>70</v>
      </c>
      <c r="F26" s="23">
        <v>2.5000000000000001E-2</v>
      </c>
      <c r="G26" s="24">
        <v>1</v>
      </c>
      <c r="H26" s="25">
        <f>F26 * G26 * 21229.8414</f>
        <v>530.74603500000001</v>
      </c>
      <c r="I26" s="25">
        <f>F26 * G26 * 16269.558656</f>
        <v>406.73896639999998</v>
      </c>
      <c r="J26" s="25">
        <f>F26 * G26 * 0</f>
        <v>0</v>
      </c>
      <c r="K26" s="25">
        <f>F26 * G26 * 20210.809013</f>
        <v>505.27022532499996</v>
      </c>
      <c r="L26" s="25">
        <f>F26 * G26 * 6536.376711</f>
        <v>163.40941777500001</v>
      </c>
      <c r="M26" s="25">
        <f>F26 * G26 * 4245.96828</f>
        <v>106.149207</v>
      </c>
      <c r="N26" s="26">
        <f>SUM(H26:M26)</f>
        <v>1712.3138514999998</v>
      </c>
    </row>
    <row r="27" spans="2:14" s="17" customFormat="1" ht="12.75">
      <c r="B27" s="18"/>
      <c r="C27" s="19" t="s">
        <v>71</v>
      </c>
      <c r="D27" s="35" t="s">
        <v>72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</row>
    <row r="28" spans="2:14">
      <c r="B28" s="20">
        <v>8</v>
      </c>
      <c r="C28" s="21" t="s">
        <v>73</v>
      </c>
      <c r="D28" s="22" t="s">
        <v>74</v>
      </c>
      <c r="E28" s="22" t="s">
        <v>75</v>
      </c>
      <c r="F28" s="23">
        <v>0.13</v>
      </c>
      <c r="G28" s="24">
        <v>1</v>
      </c>
      <c r="H28" s="25">
        <f>F28 * G28 * 7833.7224</f>
        <v>1018.383912</v>
      </c>
      <c r="I28" s="25">
        <f>F28 * G28 * 4906.963041</f>
        <v>637.90519532999997</v>
      </c>
      <c r="J28" s="25">
        <f>F28 * G28 * 0</f>
        <v>0</v>
      </c>
      <c r="K28" s="25">
        <f>F28 * G28 * 7457.703725</f>
        <v>969.50148425000009</v>
      </c>
      <c r="L28" s="25">
        <f>F28 * G28 * 2296.221599</f>
        <v>298.50880787</v>
      </c>
      <c r="M28" s="25">
        <f>F28 * G28 * 1566.74448</f>
        <v>203.67678240000001</v>
      </c>
      <c r="N28" s="26">
        <f>SUM(H28:M28)</f>
        <v>3127.9761818500001</v>
      </c>
    </row>
    <row r="29" spans="2:14" s="17" customFormat="1" ht="12.75">
      <c r="B29" s="18"/>
      <c r="C29" s="19" t="s">
        <v>76</v>
      </c>
      <c r="D29" s="35" t="s">
        <v>77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</row>
    <row r="30" spans="2:14" ht="38.25">
      <c r="B30" s="20">
        <v>9</v>
      </c>
      <c r="C30" s="21" t="s">
        <v>78</v>
      </c>
      <c r="D30" s="22" t="s">
        <v>79</v>
      </c>
      <c r="E30" s="22" t="s">
        <v>80</v>
      </c>
      <c r="F30" s="23">
        <v>9</v>
      </c>
      <c r="G30" s="24">
        <v>1</v>
      </c>
      <c r="H30" s="25">
        <f>F30 * G30 * 31.45272</f>
        <v>283.07447999999999</v>
      </c>
      <c r="I30" s="25">
        <f>F30 * G30 * 3.168864</f>
        <v>28.519776</v>
      </c>
      <c r="J30" s="25">
        <f>F30 * G30 * 0</f>
        <v>0</v>
      </c>
      <c r="K30" s="25">
        <f>F30 * G30 * 29.942989</f>
        <v>269.48690099999999</v>
      </c>
      <c r="L30" s="25">
        <f>F30 * G30 * 7.47521499999999</f>
        <v>67.276934999999909</v>
      </c>
      <c r="M30" s="25">
        <f>F30 * G30 * 6.290544</f>
        <v>56.614895999999995</v>
      </c>
      <c r="N30" s="26">
        <f>SUM(H30:M30)</f>
        <v>704.97298799999987</v>
      </c>
    </row>
    <row r="31" spans="2:14" s="17" customFormat="1" ht="12.75">
      <c r="B31" s="18"/>
      <c r="C31" s="19" t="s">
        <v>81</v>
      </c>
      <c r="D31" s="34" t="s">
        <v>82</v>
      </c>
      <c r="E31" s="34"/>
      <c r="F31" s="34"/>
      <c r="G31" s="34"/>
      <c r="H31" s="34"/>
      <c r="I31" s="34"/>
      <c r="J31" s="34"/>
      <c r="K31" s="34"/>
      <c r="L31" s="34"/>
      <c r="M31" s="34"/>
      <c r="N31" s="34"/>
    </row>
    <row r="32" spans="2:14" ht="25.5">
      <c r="B32" s="20">
        <v>10</v>
      </c>
      <c r="C32" s="21" t="s">
        <v>83</v>
      </c>
      <c r="D32" s="22" t="s">
        <v>84</v>
      </c>
      <c r="E32" s="22" t="s">
        <v>24</v>
      </c>
      <c r="F32" s="23">
        <v>0.05</v>
      </c>
      <c r="G32" s="24">
        <v>1</v>
      </c>
      <c r="H32" s="25">
        <f>F32 * G32 * 20853.288</f>
        <v>1042.6644000000001</v>
      </c>
      <c r="I32" s="25">
        <f>F32 * G32 * 14281.888527</f>
        <v>714.09442635000005</v>
      </c>
      <c r="J32" s="25">
        <f>F32 * G32 * 0</f>
        <v>0</v>
      </c>
      <c r="K32" s="25">
        <f>F32 * G32 * 19852.330176</f>
        <v>992.61650880000002</v>
      </c>
      <c r="L32" s="25">
        <f>F32 * G32 * 6241.186334</f>
        <v>312.05931670000001</v>
      </c>
      <c r="M32" s="25">
        <f>F32 * G32 * 4170.6576</f>
        <v>208.53287999999998</v>
      </c>
      <c r="N32" s="26">
        <f>SUM(H32:M32)</f>
        <v>3269.9675318500003</v>
      </c>
    </row>
    <row r="33" spans="2:14" s="14" customFormat="1" ht="15">
      <c r="B33" s="15"/>
      <c r="C33" s="16" t="s">
        <v>85</v>
      </c>
      <c r="D33" s="33" t="s">
        <v>86</v>
      </c>
      <c r="E33" s="33"/>
      <c r="F33" s="33"/>
      <c r="G33" s="33"/>
      <c r="H33" s="33"/>
      <c r="I33" s="33"/>
      <c r="J33" s="33"/>
      <c r="K33" s="33"/>
      <c r="L33" s="33"/>
      <c r="M33" s="33"/>
      <c r="N33" s="33"/>
    </row>
    <row r="34" spans="2:14" ht="25.5">
      <c r="B34" s="20">
        <v>11</v>
      </c>
      <c r="C34" s="21" t="s">
        <v>87</v>
      </c>
      <c r="D34" s="22" t="s">
        <v>88</v>
      </c>
      <c r="E34" s="22" t="s">
        <v>89</v>
      </c>
      <c r="F34" s="23">
        <v>0.42</v>
      </c>
      <c r="G34" s="24">
        <v>1</v>
      </c>
      <c r="H34" s="25">
        <f>F34 * G34 * 2443.6344</f>
        <v>1026.326448</v>
      </c>
      <c r="I34" s="25">
        <f>F34 * G34 * 600.324723</f>
        <v>252.13638365999998</v>
      </c>
      <c r="J34" s="25">
        <f>F34 * G34 * 0</f>
        <v>0</v>
      </c>
      <c r="K34" s="25">
        <f>F34 * G34 * 2326.339949</f>
        <v>977.06277857999999</v>
      </c>
      <c r="L34" s="25">
        <f>F34 * G34 * 618.127237999999</f>
        <v>259.6134399599996</v>
      </c>
      <c r="M34" s="25">
        <f>F34 * G34 * 488.72688</f>
        <v>205.26528959999999</v>
      </c>
      <c r="N34" s="26">
        <f>SUM(H34:M34)</f>
        <v>2720.4043397999994</v>
      </c>
    </row>
    <row r="35" spans="2:14" s="17" customFormat="1" ht="12.75">
      <c r="B35" s="18"/>
      <c r="C35" s="19" t="s">
        <v>90</v>
      </c>
      <c r="D35" s="34" t="s">
        <v>91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</row>
    <row r="36" spans="2:14" ht="25.5">
      <c r="B36" s="20">
        <v>12</v>
      </c>
      <c r="C36" s="21" t="s">
        <v>92</v>
      </c>
      <c r="D36" s="22" t="s">
        <v>93</v>
      </c>
      <c r="E36" s="22" t="s">
        <v>49</v>
      </c>
      <c r="F36" s="23">
        <v>0.05</v>
      </c>
      <c r="G36" s="24">
        <v>1</v>
      </c>
      <c r="H36" s="25">
        <f>F36 * G36 * 15983.683968</f>
        <v>799.18419840000001</v>
      </c>
      <c r="I36" s="25">
        <f>F36 * G36 * 5885.785638</f>
        <v>294.28928190000005</v>
      </c>
      <c r="J36" s="25">
        <f>F36 * G36 * 2.016014</f>
        <v>0.10080070000000002</v>
      </c>
      <c r="K36" s="25">
        <f>F36 * G36 * 15216.467137</f>
        <v>760.82335684999998</v>
      </c>
      <c r="L36" s="25">
        <f>F36 * G36 * 4250.034748</f>
        <v>212.50173740000002</v>
      </c>
      <c r="M36" s="25">
        <f>F36 * G36 * 3196.736794</f>
        <v>159.83683970000001</v>
      </c>
      <c r="N36" s="26">
        <f>SUM(H36:M36)</f>
        <v>2226.73621495</v>
      </c>
    </row>
    <row r="37" spans="2:14" ht="25.5">
      <c r="B37" s="20">
        <v>13</v>
      </c>
      <c r="C37" s="21" t="s">
        <v>94</v>
      </c>
      <c r="D37" s="22" t="s">
        <v>95</v>
      </c>
      <c r="E37" s="22" t="s">
        <v>49</v>
      </c>
      <c r="F37" s="23">
        <v>0.05</v>
      </c>
      <c r="G37" s="24">
        <v>1</v>
      </c>
      <c r="H37" s="25">
        <f>F37 * G37 * 14892.674832</f>
        <v>744.63374160000012</v>
      </c>
      <c r="I37" s="25">
        <f>F37 * G37 * 24214.966772</f>
        <v>1210.7483386000001</v>
      </c>
      <c r="J37" s="25">
        <f>F37 * G37 * 1.114113</f>
        <v>5.5705649999999995E-2</v>
      </c>
      <c r="K37" s="25">
        <f>F37 * G37 * 14177.82644</f>
        <v>708.89132200000006</v>
      </c>
      <c r="L37" s="25">
        <f>F37 * G37 * 5935.969857</f>
        <v>296.79849285</v>
      </c>
      <c r="M37" s="25">
        <f>F37 * G37 * 2978.534966</f>
        <v>148.92674830000001</v>
      </c>
      <c r="N37" s="26">
        <f>SUM(H37:M37)</f>
        <v>3110.054349</v>
      </c>
    </row>
    <row r="38" spans="2:14" s="14" customFormat="1" ht="15">
      <c r="B38" s="15"/>
      <c r="C38" s="16" t="s">
        <v>96</v>
      </c>
      <c r="D38" s="33" t="s">
        <v>97</v>
      </c>
      <c r="E38" s="33"/>
      <c r="F38" s="33"/>
      <c r="G38" s="33"/>
      <c r="H38" s="33"/>
      <c r="I38" s="33"/>
      <c r="J38" s="33"/>
      <c r="K38" s="33"/>
      <c r="L38" s="33"/>
      <c r="M38" s="33"/>
      <c r="N38" s="33"/>
    </row>
    <row r="39" spans="2:14" s="17" customFormat="1" ht="12.75">
      <c r="B39" s="18"/>
      <c r="C39" s="19" t="s">
        <v>98</v>
      </c>
      <c r="D39" s="34" t="s">
        <v>99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</row>
    <row r="40" spans="2:14" s="17" customFormat="1" ht="12.75">
      <c r="B40" s="18"/>
      <c r="C40" s="19" t="s">
        <v>100</v>
      </c>
      <c r="D40" s="35" t="s">
        <v>101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</row>
    <row r="41" spans="2:14" ht="25.5">
      <c r="B41" s="20">
        <v>14</v>
      </c>
      <c r="C41" s="21" t="s">
        <v>102</v>
      </c>
      <c r="D41" s="22" t="s">
        <v>103</v>
      </c>
      <c r="E41" s="22" t="s">
        <v>104</v>
      </c>
      <c r="F41" s="23">
        <v>0.25</v>
      </c>
      <c r="G41" s="24">
        <v>1</v>
      </c>
      <c r="H41" s="25">
        <f>F41 * G41 * 2729.52</f>
        <v>682.38</v>
      </c>
      <c r="I41" s="25">
        <f>F41 * G41 * 0</f>
        <v>0</v>
      </c>
      <c r="J41" s="25">
        <f>F41 * G41 * 0</f>
        <v>0</v>
      </c>
      <c r="K41" s="25">
        <f>F41 * G41 * 2598.50304</f>
        <v>649.62576000000001</v>
      </c>
      <c r="L41" s="25">
        <f>F41 * G41 * 619.699303</f>
        <v>154.92482575</v>
      </c>
      <c r="M41" s="25">
        <f>F41 * G41 * 545.904</f>
        <v>136.476</v>
      </c>
      <c r="N41" s="26">
        <f>SUM(H41:M41)</f>
        <v>1623.40658575</v>
      </c>
    </row>
    <row r="42" spans="2:14" ht="38.25">
      <c r="B42" s="20">
        <v>15</v>
      </c>
      <c r="C42" s="21" t="s">
        <v>105</v>
      </c>
      <c r="D42" s="22" t="s">
        <v>106</v>
      </c>
      <c r="E42" s="22" t="s">
        <v>107</v>
      </c>
      <c r="F42" s="23">
        <v>0.25</v>
      </c>
      <c r="G42" s="24">
        <v>1</v>
      </c>
      <c r="H42" s="25">
        <f>F42 * G42 * 1091.808</f>
        <v>272.952</v>
      </c>
      <c r="I42" s="25">
        <f>F42 * G42 * 0</f>
        <v>0</v>
      </c>
      <c r="J42" s="25">
        <f>F42 * G42 * 0</f>
        <v>0</v>
      </c>
      <c r="K42" s="25">
        <f>F42 * G42 * 1039.401216</f>
        <v>259.85030399999999</v>
      </c>
      <c r="L42" s="25">
        <f>F42 * G42 * 247.879721</f>
        <v>61.969930249999997</v>
      </c>
      <c r="M42" s="25">
        <f>F42 * G42 * 218.3616</f>
        <v>54.590400000000002</v>
      </c>
      <c r="N42" s="26">
        <f>SUM(H42:M42)</f>
        <v>649.36263425000004</v>
      </c>
    </row>
    <row r="43" spans="2:14" s="17" customFormat="1" ht="12.75">
      <c r="B43" s="18"/>
      <c r="C43" s="19" t="s">
        <v>108</v>
      </c>
      <c r="D43" s="35" t="s">
        <v>109</v>
      </c>
      <c r="E43" s="35"/>
      <c r="F43" s="35"/>
      <c r="G43" s="35"/>
      <c r="H43" s="35"/>
      <c r="I43" s="35"/>
      <c r="J43" s="35"/>
      <c r="K43" s="35"/>
      <c r="L43" s="35"/>
      <c r="M43" s="35"/>
      <c r="N43" s="35"/>
    </row>
    <row r="44" spans="2:14" ht="25.5">
      <c r="B44" s="20">
        <v>16</v>
      </c>
      <c r="C44" s="21" t="s">
        <v>110</v>
      </c>
      <c r="D44" s="22" t="s">
        <v>111</v>
      </c>
      <c r="E44" s="22" t="s">
        <v>49</v>
      </c>
      <c r="F44" s="23">
        <v>19.2</v>
      </c>
      <c r="G44" s="24">
        <v>1</v>
      </c>
      <c r="H44" s="25">
        <f>F44 * G44 * 950.793</f>
        <v>18255.225599999998</v>
      </c>
      <c r="I44" s="25">
        <f>F44 * G44 * 7.170829</f>
        <v>137.6799168</v>
      </c>
      <c r="J44" s="25">
        <f>F44 * G44 * 0</f>
        <v>0</v>
      </c>
      <c r="K44" s="25">
        <f>F44 * G44 * 905.154935999999</f>
        <v>17378.974771199981</v>
      </c>
      <c r="L44" s="25">
        <f>F44 * G44 * 216.620762</f>
        <v>4159.1186304000003</v>
      </c>
      <c r="M44" s="25">
        <f>F44 * G44 * 190.1586</f>
        <v>3651.0451200000002</v>
      </c>
      <c r="N44" s="26">
        <f>SUM(H44:M44)</f>
        <v>43582.044038399981</v>
      </c>
    </row>
    <row r="45" spans="2:14" ht="25.5">
      <c r="B45" s="20">
        <v>17</v>
      </c>
      <c r="C45" s="21" t="s">
        <v>112</v>
      </c>
      <c r="D45" s="22" t="s">
        <v>113</v>
      </c>
      <c r="E45" s="22" t="s">
        <v>49</v>
      </c>
      <c r="F45" s="23">
        <v>19.2</v>
      </c>
      <c r="G45" s="24">
        <v>1</v>
      </c>
      <c r="H45" s="25">
        <f>F45 * G45 * 400.009997</f>
        <v>7680.1919423999998</v>
      </c>
      <c r="I45" s="25">
        <f>F45 * G45 * 0</f>
        <v>0</v>
      </c>
      <c r="J45" s="25">
        <f>F45 * G45 * 68.046825</f>
        <v>1306.4990399999999</v>
      </c>
      <c r="K45" s="25">
        <f>F45 * G45 * 380.809517</f>
        <v>7311.5427264</v>
      </c>
      <c r="L45" s="25">
        <f>F45 * G45 * 97.99561</f>
        <v>1881.5157119999999</v>
      </c>
      <c r="M45" s="25">
        <f>F45 * G45 * 80.001999</f>
        <v>1536.0383807999999</v>
      </c>
      <c r="N45" s="26">
        <f>SUM(H45:M45)</f>
        <v>19715.7878016</v>
      </c>
    </row>
    <row r="46" spans="2:14" s="17" customFormat="1" ht="12.75">
      <c r="B46" s="18"/>
      <c r="C46" s="19" t="s">
        <v>114</v>
      </c>
      <c r="D46" s="35" t="s">
        <v>115</v>
      </c>
      <c r="E46" s="35"/>
      <c r="F46" s="35"/>
      <c r="G46" s="35"/>
      <c r="H46" s="35"/>
      <c r="I46" s="35"/>
      <c r="J46" s="35"/>
      <c r="K46" s="35"/>
      <c r="L46" s="35"/>
      <c r="M46" s="35"/>
      <c r="N46" s="35"/>
    </row>
    <row r="47" spans="2:14" ht="25.5">
      <c r="B47" s="20">
        <v>18</v>
      </c>
      <c r="C47" s="21" t="s">
        <v>116</v>
      </c>
      <c r="D47" s="22" t="s">
        <v>117</v>
      </c>
      <c r="E47" s="22" t="s">
        <v>118</v>
      </c>
      <c r="F47" s="23">
        <v>57.6</v>
      </c>
      <c r="G47" s="24">
        <v>1</v>
      </c>
      <c r="H47" s="25">
        <f>F47 * G47 * 223.97976</f>
        <v>12901.234176</v>
      </c>
      <c r="I47" s="25">
        <f>F47 * G47 * 0</f>
        <v>0</v>
      </c>
      <c r="J47" s="25">
        <f>F47 * G47 * 0</f>
        <v>0</v>
      </c>
      <c r="K47" s="25">
        <f>F47 * G47 * 213.228732</f>
        <v>12281.9749632</v>
      </c>
      <c r="L47" s="25">
        <f>F47 * G47 * 50.8514689999999</f>
        <v>2929.0446143999943</v>
      </c>
      <c r="M47" s="25">
        <f>F47 * G47 * 44.795952</f>
        <v>2580.2468352000001</v>
      </c>
      <c r="N47" s="26">
        <f>SUM(H47:M47)</f>
        <v>30692.500588799994</v>
      </c>
    </row>
    <row r="48" spans="2:14" s="27" customFormat="1" ht="20.100000000000001" customHeight="1">
      <c r="B48" s="36" t="s">
        <v>119</v>
      </c>
      <c r="C48" s="36"/>
      <c r="D48" s="36"/>
      <c r="E48" s="36"/>
      <c r="F48" s="36"/>
      <c r="G48" s="36"/>
      <c r="H48" s="28">
        <f t="shared" ref="H48:N48" si="0">SUM(H4:H47)</f>
        <v>58139.781521399993</v>
      </c>
      <c r="I48" s="28">
        <f t="shared" si="0"/>
        <v>65547.753180960004</v>
      </c>
      <c r="J48" s="28">
        <f t="shared" si="0"/>
        <v>2892.3873863499998</v>
      </c>
      <c r="K48" s="28">
        <f t="shared" si="0"/>
        <v>55349.072029404975</v>
      </c>
      <c r="L48" s="28">
        <f t="shared" si="0"/>
        <v>20420.258287034994</v>
      </c>
      <c r="M48" s="28">
        <f t="shared" si="0"/>
        <v>11627.956296599999</v>
      </c>
      <c r="N48" s="29">
        <f t="shared" si="0"/>
        <v>213977.20870174997</v>
      </c>
    </row>
  </sheetData>
  <mergeCells count="30">
    <mergeCell ref="D39:N39"/>
    <mergeCell ref="D40:N40"/>
    <mergeCell ref="D43:N43"/>
    <mergeCell ref="D46:N46"/>
    <mergeCell ref="B48:G48"/>
    <mergeCell ref="D29:N29"/>
    <mergeCell ref="D31:N31"/>
    <mergeCell ref="D33:N33"/>
    <mergeCell ref="D35:N35"/>
    <mergeCell ref="D38:N38"/>
    <mergeCell ref="D21:N21"/>
    <mergeCell ref="D23:N23"/>
    <mergeCell ref="D24:N24"/>
    <mergeCell ref="D25:N25"/>
    <mergeCell ref="D27:N27"/>
    <mergeCell ref="D14:N14"/>
    <mergeCell ref="D15:N15"/>
    <mergeCell ref="D16:N16"/>
    <mergeCell ref="D18:N18"/>
    <mergeCell ref="D20:N20"/>
    <mergeCell ref="D7:N7"/>
    <mergeCell ref="D8:N8"/>
    <mergeCell ref="D9:N9"/>
    <mergeCell ref="D11:N11"/>
    <mergeCell ref="D12:N12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fitToHeight="0" orientation="landscape" horizontalDpi="4294967295" verticalDpi="4294967295"/>
  <headerFooter>
    <oddHeader>&amp;C&amp;KCCCCCC&amp;"Arial"Демонстрации 144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Демонстрации 144</dc:title>
  <dc:creator/>
  <cp:lastModifiedBy/>
  <cp:lastPrinted>2022-03-21T13:41:12Z</cp:lastPrinted>
  <dcterms:created xsi:type="dcterms:W3CDTF">2022-03-21T13:41:12Z</dcterms:created>
  <dcterms:modified xsi:type="dcterms:W3CDTF">2022-03-21T13:42:00Z</dcterms:modified>
</cp:coreProperties>
</file>