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60" i="1"/>
  <c r="L60"/>
  <c r="K60"/>
  <c r="J60"/>
  <c r="N60" s="1"/>
  <c r="I60"/>
  <c r="H60"/>
  <c r="M57"/>
  <c r="L57"/>
  <c r="K57"/>
  <c r="J57"/>
  <c r="I57"/>
  <c r="N57" s="1"/>
  <c r="H57"/>
  <c r="M55"/>
  <c r="L55"/>
  <c r="K55"/>
  <c r="J55"/>
  <c r="I55"/>
  <c r="H55"/>
  <c r="N55" s="1"/>
  <c r="M52"/>
  <c r="L52"/>
  <c r="K52"/>
  <c r="J52"/>
  <c r="I52"/>
  <c r="H52"/>
  <c r="N52" s="1"/>
  <c r="M49"/>
  <c r="L49"/>
  <c r="K49"/>
  <c r="J49"/>
  <c r="N49" s="1"/>
  <c r="I49"/>
  <c r="H49"/>
  <c r="M47"/>
  <c r="L47"/>
  <c r="K47"/>
  <c r="J47"/>
  <c r="I47"/>
  <c r="N47" s="1"/>
  <c r="H47"/>
  <c r="M45"/>
  <c r="L45"/>
  <c r="K45"/>
  <c r="J45"/>
  <c r="I45"/>
  <c r="H45"/>
  <c r="N45" s="1"/>
  <c r="M43"/>
  <c r="L43"/>
  <c r="K43"/>
  <c r="J43"/>
  <c r="I43"/>
  <c r="H43"/>
  <c r="N43" s="1"/>
  <c r="M41"/>
  <c r="L41"/>
  <c r="K41"/>
  <c r="J41"/>
  <c r="N41" s="1"/>
  <c r="I41"/>
  <c r="H41"/>
  <c r="M39"/>
  <c r="L39"/>
  <c r="K39"/>
  <c r="J39"/>
  <c r="I39"/>
  <c r="N39" s="1"/>
  <c r="H39"/>
  <c r="M37"/>
  <c r="L37"/>
  <c r="K37"/>
  <c r="J37"/>
  <c r="I37"/>
  <c r="H37"/>
  <c r="N37" s="1"/>
  <c r="M36"/>
  <c r="L36"/>
  <c r="K36"/>
  <c r="J36"/>
  <c r="I36"/>
  <c r="H36"/>
  <c r="N36" s="1"/>
  <c r="M32"/>
  <c r="L32"/>
  <c r="K32"/>
  <c r="J32"/>
  <c r="N32" s="1"/>
  <c r="I32"/>
  <c r="H32"/>
  <c r="M29"/>
  <c r="L29"/>
  <c r="K29"/>
  <c r="J29"/>
  <c r="I29"/>
  <c r="N29" s="1"/>
  <c r="H29"/>
  <c r="M28"/>
  <c r="L28"/>
  <c r="K28"/>
  <c r="J28"/>
  <c r="I28"/>
  <c r="H28"/>
  <c r="N28" s="1"/>
  <c r="M26"/>
  <c r="L26"/>
  <c r="K26"/>
  <c r="J26"/>
  <c r="I26"/>
  <c r="H26"/>
  <c r="N26" s="1"/>
  <c r="M23"/>
  <c r="L23"/>
  <c r="K23"/>
  <c r="J23"/>
  <c r="N23" s="1"/>
  <c r="I23"/>
  <c r="H23"/>
  <c r="M22"/>
  <c r="L22"/>
  <c r="K22"/>
  <c r="J22"/>
  <c r="I22"/>
  <c r="N22" s="1"/>
  <c r="H22"/>
  <c r="M20"/>
  <c r="L20"/>
  <c r="K20"/>
  <c r="J20"/>
  <c r="I20"/>
  <c r="H20"/>
  <c r="N20" s="1"/>
  <c r="M18"/>
  <c r="L18"/>
  <c r="K18"/>
  <c r="J18"/>
  <c r="I18"/>
  <c r="H18"/>
  <c r="N18" s="1"/>
  <c r="M17"/>
  <c r="L17"/>
  <c r="K17"/>
  <c r="J17"/>
  <c r="N17" s="1"/>
  <c r="I17"/>
  <c r="H17"/>
  <c r="M13"/>
  <c r="L13"/>
  <c r="K13"/>
  <c r="J13"/>
  <c r="I13"/>
  <c r="N13" s="1"/>
  <c r="H13"/>
  <c r="M10"/>
  <c r="L10"/>
  <c r="K10"/>
  <c r="J10"/>
  <c r="I10"/>
  <c r="H10"/>
  <c r="N10" s="1"/>
  <c r="M6"/>
  <c r="M61" s="1"/>
  <c r="L6"/>
  <c r="L61" s="1"/>
  <c r="K6"/>
  <c r="K61" s="1"/>
  <c r="J6"/>
  <c r="J61" s="1"/>
  <c r="I6"/>
  <c r="I61" s="1"/>
  <c r="H6"/>
  <c r="H61" s="1"/>
  <c r="N6" l="1"/>
  <c r="N61" s="1"/>
</calcChain>
</file>

<file path=xl/sharedStrings.xml><?xml version="1.0" encoding="utf-8"?>
<sst xmlns="http://schemas.openxmlformats.org/spreadsheetml/2006/main" count="158" uniqueCount="150">
  <si>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</si>
  <si>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</si>
  <si>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</si>
  <si>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</si>
  <si>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</si>
  <si>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</si>
  <si>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</si>
  <si>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</si>
  <si>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</si>
  <si>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</si>
  <si>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</si>
  <si>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</si>
  <si>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</si>
  <si>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</si>
  <si>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Кр. проспект 46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</si>
  <si>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</si>
  <si>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</si>
  <si>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</si>
  <si>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</si>
  <si>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</si>
  <si>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</si>
  <si>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</si>
  <si>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</si>
  <si>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</si>
  <si>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</si>
  <si>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</si>
  <si>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</si>
  <si>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1.2.12</t>
  </si>
  <si>
    <t>Окраска  фасадов</t>
  </si>
  <si>
    <t>1.2.12.5</t>
  </si>
  <si>
    <t>Масляная окраска ранее окрашенных фасадов</t>
  </si>
  <si>
    <t>1.2.12.5.1</t>
  </si>
  <si>
    <t>Простая масляная окраска ранее окрашенных фасадов с подготовкой и расчисткой старой краски до 35 % с земли и лесов</t>
  </si>
  <si>
    <t>100 м2 окрашиваемой поверхности</t>
  </si>
  <si>
    <t>1.6</t>
  </si>
  <si>
    <t>Полы</t>
  </si>
  <si>
    <t>1.6.4</t>
  </si>
  <si>
    <t>Ремонт полов</t>
  </si>
  <si>
    <t>1.6.4.5</t>
  </si>
  <si>
    <t>Ремонт поверхности цементных полов</t>
  </si>
  <si>
    <t>кв.м.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</si>
  <si>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</si>
  <si>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</si>
  <si>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</si>
  <si>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</si>
  <si>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</si>
  <si>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</si>
  <si>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2.1.2.1.3</t>
  </si>
  <si>
    <t>Смена отдельных участков трубопроводов из стальных водогазопроводных неоцинкованных труб диаметром 25 мм</t>
  </si>
  <si>
    <t>100 м трубопровода</t>
  </si>
  <si>
    <t>2.1.2.1.6</t>
  </si>
  <si>
    <t>Смена отдельных участков трубопроводов из стальных водогазопроводных неоцинкованных труб диаметром 50 мм</t>
  </si>
  <si>
    <t>2.1.2.2</t>
  </si>
  <si>
    <t>Смена отдельных участков трубопроводов из стальных электросварных труб</t>
  </si>
  <si>
    <t>2.1.2.2.5</t>
  </si>
  <si>
    <t>Смена отдельных участков трубопроводов из стальных электросварных труб диаметром 100 мм</t>
  </si>
  <si>
    <t>2.1.2.3</t>
  </si>
  <si>
    <t xml:space="preserve">Модернизация внутридомовых тепловых сетей путем замены на трубопроводы из многослойных металл-полимерных труб при стояковой системе отопления </t>
  </si>
  <si>
    <t>2.1.2.3.1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</si>
  <si>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20 мм</t>
  </si>
  <si>
    <t>пог.м.</t>
  </si>
  <si>
    <t>2.1.2.3.2</t>
  </si>
  <si>
    <t>Модернизация внутридомовых тепловых сетей путем замены на трубопроводы из многослойных металл-полимерных труб при стояковой системе отопления диаметром до 25 мм</t>
  </si>
  <si>
    <t>2.1.8</t>
  </si>
  <si>
    <t>Ремонт  насосов,  магистральной запорной арматуры,  автоматических устройств</t>
  </si>
  <si>
    <t>2.1.8.7</t>
  </si>
  <si>
    <t>Смена пробковых кранов</t>
  </si>
  <si>
    <t>2.1.8.7.1</t>
  </si>
  <si>
    <t>Смена пробковых кранов диаметром до 25 мм</t>
  </si>
  <si>
    <t>100 кранов</t>
  </si>
  <si>
    <t>2.1.8.8</t>
  </si>
  <si>
    <t>Смена вентиля</t>
  </si>
  <si>
    <t>2.1.8.8.1</t>
  </si>
  <si>
    <t>Смена вентиля диаметром до 25 мм</t>
  </si>
  <si>
    <t>100 вентилей</t>
  </si>
  <si>
    <t>2.1.8.8.2</t>
  </si>
  <si>
    <t>Смена вентиля диаметром 25 мм</t>
  </si>
  <si>
    <t>2.1.9</t>
  </si>
  <si>
    <t>Модернизация системы отопления и горячего водоснабжения</t>
  </si>
  <si>
    <t>2.1.9.4</t>
  </si>
  <si>
    <t>Установка запорных вентилей на радиаторах</t>
  </si>
  <si>
    <t>2.1.9.4.2</t>
  </si>
  <si>
    <t>Установка запорных вентилей на радиаторах, диаметром 20 мм</t>
  </si>
  <si>
    <t>1 прибор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</si>
  <si>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</si>
  <si>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</si>
  <si>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</si>
  <si>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</si>
  <si>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2.2.1.1</t>
  </si>
  <si>
    <t>Смена отдельных участков трубопроводов  горячего водоснабжения из стальных водогазопроводных оцинкованных труб при соединении труб на резьбе</t>
  </si>
  <si>
    <t>2.2.1.1.2</t>
  </si>
  <si>
    <t>Смена отдельных участков трубопроводов   водоснабжения из стальных водогазопроводных оцинкованных труб диаметром  20 мм</t>
  </si>
  <si>
    <t>100 м трубопроводов</t>
  </si>
  <si>
    <t>2.2.1.1.4</t>
  </si>
  <si>
    <t>Смена отдельных участков трубопроводов водоснабжения из стальных водогазопроводных оцинкованных труб диаметром 32 мм</t>
  </si>
  <si>
    <t>2.2.1.7</t>
  </si>
  <si>
    <t>Смена сгонов у трубопроводов</t>
  </si>
  <si>
    <t>2.2.1.7.2</t>
  </si>
  <si>
    <t>Смена сгонов у трубопроводов диаметром до 32 мм</t>
  </si>
  <si>
    <t>100 сгонов</t>
  </si>
  <si>
    <t>2.2.1.8</t>
  </si>
  <si>
    <t>Уплотнение сгонов</t>
  </si>
  <si>
    <t>2.2.1.8.2</t>
  </si>
  <si>
    <t>Уплотнение сгонов с применением льняной пряди или асбестового шнура (без разборки сгонов) диаметром до 32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</si>
  <si>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</si>
  <si>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</si>
  <si>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</si>
  <si>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2.2.6.5</t>
  </si>
  <si>
    <t>Смена задвижек диаметром до 100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</si>
  <si>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</si>
  <si>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</si>
  <si>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</si>
  <si>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</si>
  <si>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</si>
  <si>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</si>
  <si>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</si>
  <si>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</si>
  <si>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</si>
  <si>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</si>
  <si>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2.5.7</t>
  </si>
  <si>
    <t>Ремонт,  замена  осветительных установок  помещений   общего  пользования</t>
  </si>
  <si>
    <t>2.5.7.2</t>
  </si>
  <si>
    <t>Замена светильника с лампами накаливания или энергосберегающими лампами</t>
  </si>
  <si>
    <t>1 светильник</t>
  </si>
  <si>
    <t>2.6</t>
  </si>
  <si>
    <t>Подготовка многоквартирного дома к сезонной эксплуатации, проведение технических осмотров</t>
  </si>
  <si>
    <t>2.6.3</t>
  </si>
  <si>
    <t>Замена разбитых стекол окон и дверей в помещениях общего пользования</t>
  </si>
  <si>
    <t>2.6.3.5</t>
  </si>
  <si>
    <t>Смена стекол на штапиках без замазки</t>
  </si>
  <si>
    <t>100 м фальца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</si>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</sst>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1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0.3</v>
      </c>
      <c r="G6" s="24">
        <v>1</v>
      </c>
      <c r="H6" s="25">
        <f>F6 * G6 * 1717.8024</f>
        <v>515.34072000000003</v>
      </c>
      <c r="I6" s="25">
        <f>F6 * G6 * 2684.13</f>
        <v>805.23900000000003</v>
      </c>
      <c r="J6" s="25">
        <f>F6 * G6 * 0</f>
        <v>0</v>
      </c>
      <c r="K6" s="25">
        <f>F6 * G6 * 1635.347885</f>
        <v>490.60436549999997</v>
      </c>
      <c r="L6" s="25">
        <f>F6 * G6 * 673.178701</f>
        <v>201.95361030000001</v>
      </c>
      <c r="M6" s="25">
        <f>F6 * G6 * 343.56048</f>
        <v>103.06814399999999</v>
      </c>
      <c r="N6" s="26">
        <f>SUM(H6:M6)</f>
        <v>2116.2058397999999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38.25">
      <c r="B10" s="20">
        <v>2</v>
      </c>
      <c r="C10" s="21" t="s">
        <v>31</v>
      </c>
      <c r="D10" s="22" t="s">
        <v>32</v>
      </c>
      <c r="E10" s="22" t="s">
        <v>33</v>
      </c>
      <c r="F10" s="23">
        <v>0.05</v>
      </c>
      <c r="G10" s="24">
        <v>1</v>
      </c>
      <c r="H10" s="25">
        <f>F10 * G10 * 8391.62976</f>
        <v>419.58148800000004</v>
      </c>
      <c r="I10" s="25">
        <f>F10 * G10 * 2005.601956</f>
        <v>100.28009780000001</v>
      </c>
      <c r="J10" s="25">
        <f>F10 * G10 * 0.55979</f>
        <v>2.79895E-2</v>
      </c>
      <c r="K10" s="25">
        <f>F10 * G10 * 7988.831532</f>
        <v>399.44157660000002</v>
      </c>
      <c r="L10" s="25">
        <f>F10 * G10 * 2116.852118</f>
        <v>105.8426059</v>
      </c>
      <c r="M10" s="25">
        <f>F10 * G10 * 1678.325952</f>
        <v>83.916297600000007</v>
      </c>
      <c r="N10" s="26">
        <f>SUM(H10:M10)</f>
        <v>1109.0900554000002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>
      <c r="B13" s="20">
        <v>3</v>
      </c>
      <c r="C13" s="21" t="s">
        <v>38</v>
      </c>
      <c r="D13" s="22" t="s">
        <v>39</v>
      </c>
      <c r="E13" s="22" t="s">
        <v>40</v>
      </c>
      <c r="F13" s="23">
        <v>4</v>
      </c>
      <c r="G13" s="24">
        <v>1</v>
      </c>
      <c r="H13" s="25">
        <f>F13 * G13 * 173.0022</f>
        <v>692.00879999999995</v>
      </c>
      <c r="I13" s="25">
        <f>F13 * G13 * 79.382928</f>
        <v>317.53171200000003</v>
      </c>
      <c r="J13" s="25">
        <f>F13 * G13 * 0</f>
        <v>0</v>
      </c>
      <c r="K13" s="25">
        <f>F13 * G13 * 164.698094</f>
        <v>658.79237599999999</v>
      </c>
      <c r="L13" s="25">
        <f>F13 * G13 * 47.652626</f>
        <v>190.61050399999999</v>
      </c>
      <c r="M13" s="25">
        <f>F13 * G13 * 34.60044</f>
        <v>138.40176</v>
      </c>
      <c r="N13" s="26">
        <f>SUM(H13:M13)</f>
        <v>1997.3451519999999</v>
      </c>
    </row>
    <row r="14" spans="1:14" s="14" customFormat="1" ht="15">
      <c r="B14" s="15"/>
      <c r="C14" s="16" t="s">
        <v>41</v>
      </c>
      <c r="D14" s="33" t="s">
        <v>42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43</v>
      </c>
      <c r="D15" s="34" t="s">
        <v>44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s="17" customFormat="1" ht="12.75">
      <c r="B16" s="18"/>
      <c r="C16" s="19" t="s">
        <v>45</v>
      </c>
      <c r="D16" s="35" t="s">
        <v>46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2:14" ht="38.25">
      <c r="B17" s="20">
        <v>4</v>
      </c>
      <c r="C17" s="21" t="s">
        <v>47</v>
      </c>
      <c r="D17" s="22" t="s">
        <v>48</v>
      </c>
      <c r="E17" s="22" t="s">
        <v>49</v>
      </c>
      <c r="F17" s="23">
        <v>0.08</v>
      </c>
      <c r="G17" s="24">
        <v>1</v>
      </c>
      <c r="H17" s="25">
        <f>F17 * G17 * 22490.286</f>
        <v>1799.22288</v>
      </c>
      <c r="I17" s="25">
        <f>F17 * G17 * 15520.079455</f>
        <v>1241.6063563999999</v>
      </c>
      <c r="J17" s="25">
        <f>F17 * G17 * 0</f>
        <v>0</v>
      </c>
      <c r="K17" s="25">
        <f>F17 * G17 * 21410.752272</f>
        <v>1712.8601817600002</v>
      </c>
      <c r="L17" s="25">
        <f>F17 * G17 * 6743.472955</f>
        <v>539.4778364</v>
      </c>
      <c r="M17" s="25">
        <f>F17 * G17 * 4498.0572</f>
        <v>359.84457600000002</v>
      </c>
      <c r="N17" s="26">
        <f>SUM(H17:M17)</f>
        <v>5653.0118305600008</v>
      </c>
    </row>
    <row r="18" spans="2:14" ht="38.25">
      <c r="B18" s="20">
        <v>5</v>
      </c>
      <c r="C18" s="21" t="s">
        <v>50</v>
      </c>
      <c r="D18" s="22" t="s">
        <v>51</v>
      </c>
      <c r="E18" s="22" t="s">
        <v>49</v>
      </c>
      <c r="F18" s="23">
        <v>0.01</v>
      </c>
      <c r="G18" s="24">
        <v>1</v>
      </c>
      <c r="H18" s="25">
        <f>F18 * G18 * 27433.206</f>
        <v>274.33206000000001</v>
      </c>
      <c r="I18" s="25">
        <f>F18 * G18 * 34834.490663</f>
        <v>348.34490662999997</v>
      </c>
      <c r="J18" s="25">
        <f>F18 * G18 * 0</f>
        <v>0</v>
      </c>
      <c r="K18" s="25">
        <f>F18 * G18 * 26116.412112</f>
        <v>261.16412112</v>
      </c>
      <c r="L18" s="25">
        <f>F18 * G18 * 9903.364122</f>
        <v>99.033641220000007</v>
      </c>
      <c r="M18" s="25">
        <f>F18 * G18 * 5486.6412</f>
        <v>54.866412000000004</v>
      </c>
      <c r="N18" s="26">
        <f>SUM(H18:M18)</f>
        <v>1037.7411409700001</v>
      </c>
    </row>
    <row r="19" spans="2:14" s="17" customFormat="1" ht="12.75">
      <c r="B19" s="18"/>
      <c r="C19" s="19" t="s">
        <v>52</v>
      </c>
      <c r="D19" s="35" t="s">
        <v>53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</row>
    <row r="20" spans="2:14" ht="25.5">
      <c r="B20" s="20">
        <v>6</v>
      </c>
      <c r="C20" s="21" t="s">
        <v>54</v>
      </c>
      <c r="D20" s="22" t="s">
        <v>55</v>
      </c>
      <c r="E20" s="22" t="s">
        <v>49</v>
      </c>
      <c r="F20" s="23">
        <v>0.12</v>
      </c>
      <c r="G20" s="24">
        <v>1</v>
      </c>
      <c r="H20" s="25">
        <f>F20 * G20 * 38129.68488</f>
        <v>4575.5621855999998</v>
      </c>
      <c r="I20" s="25">
        <f>F20 * G20 * 80587.759048</f>
        <v>9670.5310857599998</v>
      </c>
      <c r="J20" s="25">
        <f>F20 * G20 * 0</f>
        <v>0</v>
      </c>
      <c r="K20" s="25">
        <f>F20 * G20 * 36299.4600059999</f>
        <v>4355.9352007199877</v>
      </c>
      <c r="L20" s="25">
        <f>F20 * G20 * 17158.8197159999</f>
        <v>2059.0583659199879</v>
      </c>
      <c r="M20" s="25">
        <f>F20 * G20 * 7625.936976</f>
        <v>915.11243711999998</v>
      </c>
      <c r="N20" s="26">
        <f>SUM(H20:M20)</f>
        <v>21576.199275119972</v>
      </c>
    </row>
    <row r="21" spans="2:14" s="17" customFormat="1" ht="12.75">
      <c r="B21" s="18"/>
      <c r="C21" s="19" t="s">
        <v>56</v>
      </c>
      <c r="D21" s="35" t="s">
        <v>57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51">
      <c r="B22" s="20">
        <v>7</v>
      </c>
      <c r="C22" s="21" t="s">
        <v>58</v>
      </c>
      <c r="D22" s="22" t="s">
        <v>59</v>
      </c>
      <c r="E22" s="22" t="s">
        <v>60</v>
      </c>
      <c r="F22" s="23">
        <v>17</v>
      </c>
      <c r="G22" s="24">
        <v>1</v>
      </c>
      <c r="H22" s="25">
        <f>F22 * G22 * 439.45272</f>
        <v>7470.6962400000002</v>
      </c>
      <c r="I22" s="25">
        <f>F22 * G22 * 215.58771</f>
        <v>3664.9910699999996</v>
      </c>
      <c r="J22" s="25">
        <f>F22 * G22 * 0</f>
        <v>0</v>
      </c>
      <c r="K22" s="25">
        <f>F22 * G22 * 418.358989</f>
        <v>7112.1028130000004</v>
      </c>
      <c r="L22" s="25">
        <f>F22 * G22 * 122.516091</f>
        <v>2082.7735470000002</v>
      </c>
      <c r="M22" s="25">
        <f>F22 * G22 * 87.890544</f>
        <v>1494.1392480000002</v>
      </c>
      <c r="N22" s="26">
        <f>SUM(H22:M22)</f>
        <v>21824.702917999999</v>
      </c>
    </row>
    <row r="23" spans="2:14" ht="51">
      <c r="B23" s="20">
        <v>8</v>
      </c>
      <c r="C23" s="21" t="s">
        <v>61</v>
      </c>
      <c r="D23" s="22" t="s">
        <v>62</v>
      </c>
      <c r="E23" s="22" t="s">
        <v>60</v>
      </c>
      <c r="F23" s="23">
        <v>7.5</v>
      </c>
      <c r="G23" s="24">
        <v>1</v>
      </c>
      <c r="H23" s="25">
        <f>F23 * G23 * 474.93648</f>
        <v>3562.0236</v>
      </c>
      <c r="I23" s="25">
        <f>F23 * G23 * 290.90961</f>
        <v>2181.822075</v>
      </c>
      <c r="J23" s="25">
        <f>F23 * G23 * 0</f>
        <v>0</v>
      </c>
      <c r="K23" s="25">
        <f>F23 * G23 * 452.139529</f>
        <v>3391.0464674999998</v>
      </c>
      <c r="L23" s="25">
        <f>F23 * G23 * 138.518643</f>
        <v>1038.8898225</v>
      </c>
      <c r="M23" s="25">
        <f>F23 * G23 * 94.987296</f>
        <v>712.40472</v>
      </c>
      <c r="N23" s="26">
        <f>SUM(H23:M23)</f>
        <v>10886.186685000001</v>
      </c>
    </row>
    <row r="24" spans="2:14" s="17" customFormat="1" ht="12.75">
      <c r="B24" s="18"/>
      <c r="C24" s="19" t="s">
        <v>63</v>
      </c>
      <c r="D24" s="34" t="s">
        <v>64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</row>
    <row r="25" spans="2:14" s="17" customFormat="1" ht="12.75">
      <c r="B25" s="18"/>
      <c r="C25" s="19" t="s">
        <v>65</v>
      </c>
      <c r="D25" s="35" t="s">
        <v>66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spans="2:14">
      <c r="B26" s="20">
        <v>9</v>
      </c>
      <c r="C26" s="21" t="s">
        <v>67</v>
      </c>
      <c r="D26" s="22" t="s">
        <v>68</v>
      </c>
      <c r="E26" s="22" t="s">
        <v>69</v>
      </c>
      <c r="F26" s="23">
        <v>0.04</v>
      </c>
      <c r="G26" s="24">
        <v>1</v>
      </c>
      <c r="H26" s="25">
        <f>F26 * G26 * 10812.816</f>
        <v>432.51264000000003</v>
      </c>
      <c r="I26" s="25">
        <f>F26 * G26 * 14548.102763</f>
        <v>581.92411052</v>
      </c>
      <c r="J26" s="25">
        <f>F26 * G26 * 0</f>
        <v>0</v>
      </c>
      <c r="K26" s="25">
        <f>F26 * G26 * 10293.800832</f>
        <v>411.75203328000003</v>
      </c>
      <c r="L26" s="25">
        <f>F26 * G26 * 3989.72333499999</f>
        <v>159.5889333999996</v>
      </c>
      <c r="M26" s="25">
        <f>F26 * G26 * 2162.5632</f>
        <v>86.502527999999998</v>
      </c>
      <c r="N26" s="26">
        <f>SUM(H26:M26)</f>
        <v>1672.2802451999996</v>
      </c>
    </row>
    <row r="27" spans="2:14" s="17" customFormat="1" ht="12.75">
      <c r="B27" s="18"/>
      <c r="C27" s="19" t="s">
        <v>70</v>
      </c>
      <c r="D27" s="35" t="s">
        <v>71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2:14">
      <c r="B28" s="20">
        <v>10</v>
      </c>
      <c r="C28" s="21" t="s">
        <v>72</v>
      </c>
      <c r="D28" s="22" t="s">
        <v>73</v>
      </c>
      <c r="E28" s="22" t="s">
        <v>74</v>
      </c>
      <c r="F28" s="23">
        <v>0.03</v>
      </c>
      <c r="G28" s="24">
        <v>1</v>
      </c>
      <c r="H28" s="25">
        <f>F28 * G28 * 14193.504</f>
        <v>425.80511999999999</v>
      </c>
      <c r="I28" s="25">
        <f>F28 * G28 * 11401.039579</f>
        <v>342.03118737</v>
      </c>
      <c r="J28" s="25">
        <f>F28 * G28 * 0</f>
        <v>0</v>
      </c>
      <c r="K28" s="25">
        <f>F28 * G28 * 13512.2158079999</f>
        <v>405.36647423999699</v>
      </c>
      <c r="L28" s="25">
        <f>F28 * G28 * 4425.24605</f>
        <v>132.75738149999998</v>
      </c>
      <c r="M28" s="25">
        <f>F28 * G28 * 2838.7008</f>
        <v>85.161023999999998</v>
      </c>
      <c r="N28" s="26">
        <f>SUM(H28:M28)</f>
        <v>1391.121187109997</v>
      </c>
    </row>
    <row r="29" spans="2:14">
      <c r="B29" s="20">
        <v>11</v>
      </c>
      <c r="C29" s="21" t="s">
        <v>75</v>
      </c>
      <c r="D29" s="22" t="s">
        <v>76</v>
      </c>
      <c r="E29" s="22" t="s">
        <v>74</v>
      </c>
      <c r="F29" s="23">
        <v>0.06</v>
      </c>
      <c r="G29" s="24">
        <v>1</v>
      </c>
      <c r="H29" s="25">
        <f>F29 * G29 * 14193.504</f>
        <v>851.61023999999998</v>
      </c>
      <c r="I29" s="25">
        <f>F29 * G29 * 16814.208052</f>
        <v>1008.8524831200001</v>
      </c>
      <c r="J29" s="25">
        <f>F29 * G29 * 0</f>
        <v>0</v>
      </c>
      <c r="K29" s="25">
        <f>F29 * G29 * 13512.2158079999</f>
        <v>810.73294847999398</v>
      </c>
      <c r="L29" s="25">
        <f>F29 * G29 * 4996.335323</f>
        <v>299.78011938000003</v>
      </c>
      <c r="M29" s="25">
        <f>F29 * G29 * 2838.7008</f>
        <v>170.322048</v>
      </c>
      <c r="N29" s="26">
        <f>SUM(H29:M29)</f>
        <v>3141.2978389799941</v>
      </c>
    </row>
    <row r="30" spans="2:14" s="17" customFormat="1" ht="12.75">
      <c r="B30" s="18"/>
      <c r="C30" s="19" t="s">
        <v>77</v>
      </c>
      <c r="D30" s="34" t="s">
        <v>78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 s="17" customFormat="1" ht="12.75">
      <c r="B31" s="18"/>
      <c r="C31" s="19" t="s">
        <v>79</v>
      </c>
      <c r="D31" s="35" t="s">
        <v>80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25.5">
      <c r="B32" s="20">
        <v>12</v>
      </c>
      <c r="C32" s="21" t="s">
        <v>81</v>
      </c>
      <c r="D32" s="22" t="s">
        <v>82</v>
      </c>
      <c r="E32" s="22" t="s">
        <v>83</v>
      </c>
      <c r="F32" s="23">
        <v>16</v>
      </c>
      <c r="G32" s="24">
        <v>1</v>
      </c>
      <c r="H32" s="25">
        <f>F32 * G32 * 103.72176</f>
        <v>1659.5481600000001</v>
      </c>
      <c r="I32" s="25">
        <f>F32 * G32 * 1522.9416</f>
        <v>24367.065600000002</v>
      </c>
      <c r="J32" s="25">
        <f>F32 * G32 * 0</f>
        <v>0</v>
      </c>
      <c r="K32" s="25">
        <f>F32 * G32 * 98.743116</f>
        <v>1579.889856</v>
      </c>
      <c r="L32" s="25">
        <f>F32 * G32 * 184.218912</f>
        <v>2947.5025919999998</v>
      </c>
      <c r="M32" s="25">
        <f>F32 * G32 * 20.744352</f>
        <v>331.90963199999999</v>
      </c>
      <c r="N32" s="26">
        <f>SUM(H32:M32)</f>
        <v>30885.915840000001</v>
      </c>
    </row>
    <row r="33" spans="2:14" s="14" customFormat="1" ht="15">
      <c r="B33" s="15"/>
      <c r="C33" s="16" t="s">
        <v>84</v>
      </c>
      <c r="D33" s="33" t="s">
        <v>85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2:14" s="17" customFormat="1" ht="12.75">
      <c r="B34" s="18"/>
      <c r="C34" s="19" t="s">
        <v>86</v>
      </c>
      <c r="D34" s="34" t="s">
        <v>87</v>
      </c>
      <c r="E34" s="34"/>
      <c r="F34" s="34"/>
      <c r="G34" s="34"/>
      <c r="H34" s="34"/>
      <c r="I34" s="34"/>
      <c r="J34" s="34"/>
      <c r="K34" s="34"/>
      <c r="L34" s="34"/>
      <c r="M34" s="34"/>
      <c r="N34" s="34"/>
    </row>
    <row r="35" spans="2:14" s="17" customFormat="1" ht="12.75">
      <c r="B35" s="18"/>
      <c r="C35" s="19" t="s">
        <v>88</v>
      </c>
      <c r="D35" s="35" t="s">
        <v>89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2:14" ht="38.25">
      <c r="B36" s="20">
        <v>13</v>
      </c>
      <c r="C36" s="21" t="s">
        <v>90</v>
      </c>
      <c r="D36" s="22" t="s">
        <v>91</v>
      </c>
      <c r="E36" s="22" t="s">
        <v>92</v>
      </c>
      <c r="F36" s="23">
        <v>0.05</v>
      </c>
      <c r="G36" s="24">
        <v>1</v>
      </c>
      <c r="H36" s="25">
        <f>F36 * G36 * 21229.8414</f>
        <v>1061.49207</v>
      </c>
      <c r="I36" s="25">
        <f>F36 * G36 * 16269.558656</f>
        <v>813.47793279999996</v>
      </c>
      <c r="J36" s="25">
        <f>F36 * G36 * 0</f>
        <v>0</v>
      </c>
      <c r="K36" s="25">
        <f>F36 * G36 * 20210.809013</f>
        <v>1010.5404506499999</v>
      </c>
      <c r="L36" s="25">
        <f>F36 * G36 * 6536.376711</f>
        <v>326.81883555000002</v>
      </c>
      <c r="M36" s="25">
        <f>F36 * G36 * 4245.96828</f>
        <v>212.29841400000001</v>
      </c>
      <c r="N36" s="26">
        <f>SUM(H36:M36)</f>
        <v>3424.6277029999997</v>
      </c>
    </row>
    <row r="37" spans="2:14" ht="38.25">
      <c r="B37" s="20">
        <v>14</v>
      </c>
      <c r="C37" s="21" t="s">
        <v>93</v>
      </c>
      <c r="D37" s="22" t="s">
        <v>94</v>
      </c>
      <c r="E37" s="22" t="s">
        <v>92</v>
      </c>
      <c r="F37" s="23">
        <v>0.16</v>
      </c>
      <c r="G37" s="24">
        <v>1</v>
      </c>
      <c r="H37" s="25">
        <f>F37 * G37 * 28545.363</f>
        <v>4567.2580800000005</v>
      </c>
      <c r="I37" s="25">
        <f>F37 * G37 * 32786.421852</f>
        <v>5245.8274963200001</v>
      </c>
      <c r="J37" s="25">
        <f>F37 * G37 * 0</f>
        <v>0</v>
      </c>
      <c r="K37" s="25">
        <f>F37 * G37 * 27175.1855759999</f>
        <v>4348.0296921599847</v>
      </c>
      <c r="L37" s="25">
        <f>F37 * G37 * 9939.792539</f>
        <v>1590.36680624</v>
      </c>
      <c r="M37" s="25">
        <f>F37 * G37 * 5709.0726</f>
        <v>913.45161600000006</v>
      </c>
      <c r="N37" s="26">
        <f>SUM(H37:M37)</f>
        <v>16664.933690719983</v>
      </c>
    </row>
    <row r="38" spans="2:14" s="17" customFormat="1" ht="12.75">
      <c r="B38" s="18"/>
      <c r="C38" s="19" t="s">
        <v>95</v>
      </c>
      <c r="D38" s="35" t="s">
        <v>96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2:14">
      <c r="B39" s="20">
        <v>15</v>
      </c>
      <c r="C39" s="21" t="s">
        <v>97</v>
      </c>
      <c r="D39" s="22" t="s">
        <v>98</v>
      </c>
      <c r="E39" s="22" t="s">
        <v>99</v>
      </c>
      <c r="F39" s="23">
        <v>0.04</v>
      </c>
      <c r="G39" s="24">
        <v>1</v>
      </c>
      <c r="H39" s="25">
        <f>F39 * G39 * 11354.8032</f>
        <v>454.19212800000003</v>
      </c>
      <c r="I39" s="25">
        <f>F39 * G39 * 10639.970407</f>
        <v>425.59881628000005</v>
      </c>
      <c r="J39" s="25">
        <f>F39 * G39 * 0</f>
        <v>0</v>
      </c>
      <c r="K39" s="25">
        <f>F39 * G39 * 10809.772646</f>
        <v>432.39090583999996</v>
      </c>
      <c r="L39" s="25">
        <f>F39 * G39 * 3700.465977</f>
        <v>148.01863907999999</v>
      </c>
      <c r="M39" s="25">
        <f>F39 * G39 * 2270.96064</f>
        <v>90.838425599999994</v>
      </c>
      <c r="N39" s="26">
        <f>SUM(H39:M39)</f>
        <v>1551.0389147999999</v>
      </c>
    </row>
    <row r="40" spans="2:14" s="17" customFormat="1" ht="12.75">
      <c r="B40" s="18"/>
      <c r="C40" s="19" t="s">
        <v>100</v>
      </c>
      <c r="D40" s="35" t="s">
        <v>101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2:14" ht="38.25">
      <c r="B41" s="20">
        <v>16</v>
      </c>
      <c r="C41" s="21" t="s">
        <v>102</v>
      </c>
      <c r="D41" s="22" t="s">
        <v>103</v>
      </c>
      <c r="E41" s="22" t="s">
        <v>104</v>
      </c>
      <c r="F41" s="23">
        <v>4</v>
      </c>
      <c r="G41" s="24">
        <v>1</v>
      </c>
      <c r="H41" s="25">
        <f>F41 * G41 * 31.45272</f>
        <v>125.81088</v>
      </c>
      <c r="I41" s="25">
        <f>F41 * G41 * 6.521409</f>
        <v>26.085636000000001</v>
      </c>
      <c r="J41" s="25">
        <f>F41 * G41 * 0</f>
        <v>0</v>
      </c>
      <c r="K41" s="25">
        <f>F41 * G41 * 29.942989</f>
        <v>119.771956</v>
      </c>
      <c r="L41" s="25">
        <f>F41 * G41 * 7.828908</f>
        <v>31.315632000000001</v>
      </c>
      <c r="M41" s="25">
        <f>F41 * G41 * 6.290544</f>
        <v>25.162175999999999</v>
      </c>
      <c r="N41" s="26">
        <f>SUM(H41:M41)</f>
        <v>328.14627999999999</v>
      </c>
    </row>
    <row r="42" spans="2:14" s="17" customFormat="1" ht="12.75">
      <c r="B42" s="18"/>
      <c r="C42" s="19" t="s">
        <v>105</v>
      </c>
      <c r="D42" s="34" t="s">
        <v>106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</row>
    <row r="43" spans="2:14">
      <c r="B43" s="20">
        <v>17</v>
      </c>
      <c r="C43" s="21" t="s">
        <v>107</v>
      </c>
      <c r="D43" s="22" t="s">
        <v>108</v>
      </c>
      <c r="E43" s="22" t="s">
        <v>24</v>
      </c>
      <c r="F43" s="23">
        <v>0.01</v>
      </c>
      <c r="G43" s="24">
        <v>1</v>
      </c>
      <c r="H43" s="25">
        <f>F43 * G43 * 108643.056</f>
        <v>1086.43056</v>
      </c>
      <c r="I43" s="25">
        <f>F43 * G43 * 413629.447932</f>
        <v>4136.2944793199995</v>
      </c>
      <c r="J43" s="25">
        <f>F43 * G43 * 0</f>
        <v>0</v>
      </c>
      <c r="K43" s="25">
        <f>F43 * G43 * 103428.189312</f>
        <v>1034.2818931199999</v>
      </c>
      <c r="L43" s="25">
        <f>F43 * G43 * 68303.791619</f>
        <v>683.03791618999992</v>
      </c>
      <c r="M43" s="25">
        <f>F43 * G43 * 21728.6112</f>
        <v>217.286112</v>
      </c>
      <c r="N43" s="26">
        <f>SUM(H43:M43)</f>
        <v>7157.330960629999</v>
      </c>
    </row>
    <row r="44" spans="2:14" s="14" customFormat="1" ht="15">
      <c r="B44" s="15"/>
      <c r="C44" s="16" t="s">
        <v>109</v>
      </c>
      <c r="D44" s="33" t="s">
        <v>110</v>
      </c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2:14" ht="25.5">
      <c r="B45" s="20">
        <v>18</v>
      </c>
      <c r="C45" s="21" t="s">
        <v>111</v>
      </c>
      <c r="D45" s="22" t="s">
        <v>112</v>
      </c>
      <c r="E45" s="22" t="s">
        <v>113</v>
      </c>
      <c r="F45" s="23">
        <v>1.4</v>
      </c>
      <c r="G45" s="24">
        <v>1</v>
      </c>
      <c r="H45" s="25">
        <f>F45 * G45 * 2443.6344</f>
        <v>3421.0881599999998</v>
      </c>
      <c r="I45" s="25">
        <f>F45 * G45 * 600.324723</f>
        <v>840.45461219999993</v>
      </c>
      <c r="J45" s="25">
        <f>F45 * G45 * 0</f>
        <v>0</v>
      </c>
      <c r="K45" s="25">
        <f>F45 * G45 * 2326.339949</f>
        <v>3256.8759286</v>
      </c>
      <c r="L45" s="25">
        <f>F45 * G45 * 618.127237999999</f>
        <v>865.37813319999862</v>
      </c>
      <c r="M45" s="25">
        <f>F45 * G45 * 488.72688</f>
        <v>684.21763199999998</v>
      </c>
      <c r="N45" s="26">
        <f>SUM(H45:M45)</f>
        <v>9068.0144659999969</v>
      </c>
    </row>
    <row r="46" spans="2:14" s="14" customFormat="1" ht="15">
      <c r="B46" s="15"/>
      <c r="C46" s="16" t="s">
        <v>114</v>
      </c>
      <c r="D46" s="33" t="s">
        <v>115</v>
      </c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2:14">
      <c r="B47" s="20">
        <v>19</v>
      </c>
      <c r="C47" s="21" t="s">
        <v>116</v>
      </c>
      <c r="D47" s="22" t="s">
        <v>117</v>
      </c>
      <c r="E47" s="22" t="s">
        <v>118</v>
      </c>
      <c r="F47" s="23">
        <v>0.01</v>
      </c>
      <c r="G47" s="24">
        <v>1</v>
      </c>
      <c r="H47" s="25">
        <f>F47 * G47 * 48388.8</f>
        <v>483.88800000000003</v>
      </c>
      <c r="I47" s="25">
        <f>F47 * G47 * 59115.7592339999</f>
        <v>591.15759233999995</v>
      </c>
      <c r="J47" s="25">
        <f>F47 * G47 * 0</f>
        <v>0</v>
      </c>
      <c r="K47" s="25">
        <f>F47 * G47 * 46066.1376</f>
        <v>460.66137600000002</v>
      </c>
      <c r="L47" s="25">
        <f>F47 * G47 * 17222.712196</f>
        <v>172.22712196000001</v>
      </c>
      <c r="M47" s="25">
        <f>F47 * G47 * 9677.76</f>
        <v>96.777600000000007</v>
      </c>
      <c r="N47" s="26">
        <f>SUM(H47:M47)</f>
        <v>1804.7116903000001</v>
      </c>
    </row>
    <row r="48" spans="2:14" s="17" customFormat="1" ht="12.75">
      <c r="B48" s="18"/>
      <c r="C48" s="19" t="s">
        <v>119</v>
      </c>
      <c r="D48" s="34" t="s">
        <v>120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ht="25.5">
      <c r="B49" s="20">
        <v>20</v>
      </c>
      <c r="C49" s="21" t="s">
        <v>121</v>
      </c>
      <c r="D49" s="22" t="s">
        <v>122</v>
      </c>
      <c r="E49" s="22" t="s">
        <v>123</v>
      </c>
      <c r="F49" s="23">
        <v>3</v>
      </c>
      <c r="G49" s="24">
        <v>1</v>
      </c>
      <c r="H49" s="25">
        <f>F49 * G49 * 243.200232</f>
        <v>729.60069599999997</v>
      </c>
      <c r="I49" s="25">
        <f>F49 * G49 * 348.610398</f>
        <v>1045.8311939999999</v>
      </c>
      <c r="J49" s="25">
        <f>F49 * G49 * 0</f>
        <v>0</v>
      </c>
      <c r="K49" s="25">
        <f>F49 * G49 * 231.526621</f>
        <v>694.57986300000005</v>
      </c>
      <c r="L49" s="25">
        <f>F49 * G49 * 91.993604</f>
        <v>275.98081200000001</v>
      </c>
      <c r="M49" s="25">
        <f>F49 * G49 * 48.640046</f>
        <v>145.92013800000001</v>
      </c>
      <c r="N49" s="26">
        <f>SUM(H49:M49)</f>
        <v>2891.9127029999995</v>
      </c>
    </row>
    <row r="50" spans="2:14" s="14" customFormat="1" ht="15">
      <c r="B50" s="15"/>
      <c r="C50" s="16" t="s">
        <v>124</v>
      </c>
      <c r="D50" s="33" t="s">
        <v>125</v>
      </c>
      <c r="E50" s="33"/>
      <c r="F50" s="33"/>
      <c r="G50" s="33"/>
      <c r="H50" s="33"/>
      <c r="I50" s="33"/>
      <c r="J50" s="33"/>
      <c r="K50" s="33"/>
      <c r="L50" s="33"/>
      <c r="M50" s="33"/>
      <c r="N50" s="33"/>
    </row>
    <row r="51" spans="2:14" s="17" customFormat="1" ht="12.75">
      <c r="B51" s="18"/>
      <c r="C51" s="19" t="s">
        <v>126</v>
      </c>
      <c r="D51" s="34" t="s">
        <v>127</v>
      </c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2:14">
      <c r="B52" s="20">
        <v>21</v>
      </c>
      <c r="C52" s="21" t="s">
        <v>128</v>
      </c>
      <c r="D52" s="22" t="s">
        <v>129</v>
      </c>
      <c r="E52" s="22" t="s">
        <v>130</v>
      </c>
      <c r="F52" s="23">
        <v>0.03</v>
      </c>
      <c r="G52" s="24">
        <v>1</v>
      </c>
      <c r="H52" s="25">
        <f>F52 * G52 * 5327.766</f>
        <v>159.83297999999999</v>
      </c>
      <c r="I52" s="25">
        <f>F52 * G52 * 9060.887801</f>
        <v>271.82663403000004</v>
      </c>
      <c r="J52" s="25">
        <f>F52 * G52 * 0</f>
        <v>0</v>
      </c>
      <c r="K52" s="25">
        <f>F52 * G52 * 5072.033232</f>
        <v>152.16099695999998</v>
      </c>
      <c r="L52" s="25">
        <f>F52 * G52 * 2165.518344</f>
        <v>64.965550320000006</v>
      </c>
      <c r="M52" s="25">
        <f>F52 * G52 * 1065.5532</f>
        <v>31.966595999999999</v>
      </c>
      <c r="N52" s="26">
        <f>SUM(H52:M52)</f>
        <v>680.75275730999999</v>
      </c>
    </row>
    <row r="53" spans="2:14" s="17" customFormat="1" ht="12.75">
      <c r="B53" s="18"/>
      <c r="C53" s="19" t="s">
        <v>131</v>
      </c>
      <c r="D53" s="34" t="s">
        <v>132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2:14" s="17" customFormat="1" ht="12.75">
      <c r="B54" s="18"/>
      <c r="C54" s="19" t="s">
        <v>133</v>
      </c>
      <c r="D54" s="35" t="s">
        <v>134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5" spans="2:14" ht="25.5">
      <c r="B55" s="20">
        <v>22</v>
      </c>
      <c r="C55" s="21" t="s">
        <v>135</v>
      </c>
      <c r="D55" s="22" t="s">
        <v>136</v>
      </c>
      <c r="E55" s="22" t="s">
        <v>49</v>
      </c>
      <c r="F55" s="23">
        <v>19.2</v>
      </c>
      <c r="G55" s="24">
        <v>1</v>
      </c>
      <c r="H55" s="25">
        <f>F55 * G55 * 950.793</f>
        <v>18255.225599999998</v>
      </c>
      <c r="I55" s="25">
        <f>F55 * G55 * 7.170829</f>
        <v>137.6799168</v>
      </c>
      <c r="J55" s="25">
        <f>F55 * G55 * 0</f>
        <v>0</v>
      </c>
      <c r="K55" s="25">
        <f>F55 * G55 * 905.154935999999</f>
        <v>17378.974771199981</v>
      </c>
      <c r="L55" s="25">
        <f>F55 * G55 * 216.620762</f>
        <v>4159.1186304000003</v>
      </c>
      <c r="M55" s="25">
        <f>F55 * G55 * 190.1586</f>
        <v>3651.0451200000002</v>
      </c>
      <c r="N55" s="26">
        <f>SUM(H55:M55)</f>
        <v>43582.044038399981</v>
      </c>
    </row>
    <row r="56" spans="2:14" s="17" customFormat="1" ht="12.75">
      <c r="B56" s="18"/>
      <c r="C56" s="19" t="s">
        <v>137</v>
      </c>
      <c r="D56" s="35" t="s">
        <v>138</v>
      </c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2:14" ht="25.5">
      <c r="B57" s="20">
        <v>23</v>
      </c>
      <c r="C57" s="21" t="s">
        <v>139</v>
      </c>
      <c r="D57" s="22" t="s">
        <v>140</v>
      </c>
      <c r="E57" s="22" t="s">
        <v>141</v>
      </c>
      <c r="F57" s="23">
        <v>57.6</v>
      </c>
      <c r="G57" s="24">
        <v>1</v>
      </c>
      <c r="H57" s="25">
        <f>F57 * G57 * 223.97976</f>
        <v>12901.234176</v>
      </c>
      <c r="I57" s="25">
        <f>F57 * G57 * 0</f>
        <v>0</v>
      </c>
      <c r="J57" s="25">
        <f>F57 * G57 * 0</f>
        <v>0</v>
      </c>
      <c r="K57" s="25">
        <f>F57 * G57 * 213.228732</f>
        <v>12281.9749632</v>
      </c>
      <c r="L57" s="25">
        <f>F57 * G57 * 50.8514689999999</f>
        <v>2929.0446143999943</v>
      </c>
      <c r="M57" s="25">
        <f>F57 * G57 * 44.795952</f>
        <v>2580.2468352000001</v>
      </c>
      <c r="N57" s="26">
        <f>SUM(H57:M57)</f>
        <v>30692.500588799994</v>
      </c>
    </row>
    <row r="58" spans="2:14" s="17" customFormat="1" ht="12.75">
      <c r="B58" s="18"/>
      <c r="C58" s="19" t="s">
        <v>142</v>
      </c>
      <c r="D58" s="35" t="s">
        <v>143</v>
      </c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2:14" s="17" customFormat="1" ht="12.75">
      <c r="B59" s="18"/>
      <c r="C59" s="19" t="s">
        <v>144</v>
      </c>
      <c r="D59" s="36" t="s">
        <v>145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ht="25.5">
      <c r="B60" s="20">
        <v>24</v>
      </c>
      <c r="C60" s="21" t="s">
        <v>146</v>
      </c>
      <c r="D60" s="22" t="s">
        <v>147</v>
      </c>
      <c r="E60" s="22" t="s">
        <v>148</v>
      </c>
      <c r="F60" s="23">
        <v>7.0000000000000007E-2</v>
      </c>
      <c r="G60" s="24">
        <v>1</v>
      </c>
      <c r="H60" s="25">
        <f>F60 * G60 * 13548.864</f>
        <v>948.42048000000011</v>
      </c>
      <c r="I60" s="25">
        <f>F60 * G60 * 0</f>
        <v>0</v>
      </c>
      <c r="J60" s="25">
        <f>F60 * G60 * 0</f>
        <v>0</v>
      </c>
      <c r="K60" s="25">
        <f>F60 * G60 * 12898.518528</f>
        <v>902.89629696000009</v>
      </c>
      <c r="L60" s="25">
        <f>F60 * G60 * 3076.079887</f>
        <v>215.32559209000001</v>
      </c>
      <c r="M60" s="25">
        <f>F60 * G60 * 2709.7728</f>
        <v>189.68409600000004</v>
      </c>
      <c r="N60" s="26">
        <f>SUM(H60:M60)</f>
        <v>2256.32646505</v>
      </c>
    </row>
    <row r="61" spans="2:14" s="27" customFormat="1" ht="20.100000000000001" customHeight="1">
      <c r="B61" s="37" t="s">
        <v>149</v>
      </c>
      <c r="C61" s="37"/>
      <c r="D61" s="37"/>
      <c r="E61" s="37"/>
      <c r="F61" s="37"/>
      <c r="G61" s="37"/>
      <c r="H61" s="28">
        <f t="shared" ref="H61:N61" si="0">SUM(H4:H60)</f>
        <v>66872.717943600001</v>
      </c>
      <c r="I61" s="28">
        <f t="shared" si="0"/>
        <v>58164.453994690011</v>
      </c>
      <c r="J61" s="28">
        <f t="shared" si="0"/>
        <v>2.79895E-2</v>
      </c>
      <c r="K61" s="28">
        <f t="shared" si="0"/>
        <v>63662.827507889953</v>
      </c>
      <c r="L61" s="28">
        <f t="shared" si="0"/>
        <v>21318.867242949982</v>
      </c>
      <c r="M61" s="28">
        <f t="shared" si="0"/>
        <v>13374.54358752</v>
      </c>
      <c r="N61" s="29">
        <f t="shared" si="0"/>
        <v>223393.43826614995</v>
      </c>
    </row>
  </sheetData>
  <mergeCells count="37">
    <mergeCell ref="D59:N59"/>
    <mergeCell ref="B61:G61"/>
    <mergeCell ref="D51:N51"/>
    <mergeCell ref="D53:N53"/>
    <mergeCell ref="D54:N54"/>
    <mergeCell ref="D56:N56"/>
    <mergeCell ref="D58:N58"/>
    <mergeCell ref="D42:N42"/>
    <mergeCell ref="D44:N44"/>
    <mergeCell ref="D46:N46"/>
    <mergeCell ref="D48:N48"/>
    <mergeCell ref="D50:N50"/>
    <mergeCell ref="D33:N33"/>
    <mergeCell ref="D34:N34"/>
    <mergeCell ref="D35:N35"/>
    <mergeCell ref="D38:N38"/>
    <mergeCell ref="D40:N40"/>
    <mergeCell ref="D24:N24"/>
    <mergeCell ref="D25:N25"/>
    <mergeCell ref="D27:N27"/>
    <mergeCell ref="D30:N30"/>
    <mergeCell ref="D31:N31"/>
    <mergeCell ref="D14:N14"/>
    <mergeCell ref="D15:N15"/>
    <mergeCell ref="D16:N16"/>
    <mergeCell ref="D19:N19"/>
    <mergeCell ref="D21:N21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&amp;C&amp;KCCCCCC&amp;"Arial"Кр. проспект 46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Кр. проспект 46</dc:title>
  <dc:creator/>
  <cp:lastModifiedBy/>
  <cp:lastPrinted>2022-03-22T14:07:32Z</cp:lastPrinted>
  <dcterms:created xsi:type="dcterms:W3CDTF">2022-03-22T14:07:32Z</dcterms:created>
  <dcterms:modified xsi:type="dcterms:W3CDTF">2022-03-22T14:08:30Z</dcterms:modified>
</cp:coreProperties>
</file>