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360" yWindow="525" windowWidth="19815" windowHeight="736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45" i="1"/>
  <c r="L45"/>
  <c r="K45"/>
  <c r="J45"/>
  <c r="I45"/>
  <c r="H45"/>
  <c r="N45" s="1"/>
  <c r="M42"/>
  <c r="L42"/>
  <c r="K42"/>
  <c r="J42"/>
  <c r="N42" s="1"/>
  <c r="I42"/>
  <c r="H42"/>
  <c r="M40"/>
  <c r="L40"/>
  <c r="K40"/>
  <c r="J40"/>
  <c r="N40" s="1"/>
  <c r="I40"/>
  <c r="H40"/>
  <c r="M39"/>
  <c r="L39"/>
  <c r="K39"/>
  <c r="J39"/>
  <c r="I39"/>
  <c r="H39"/>
  <c r="N39" s="1"/>
  <c r="M35"/>
  <c r="L35"/>
  <c r="K35"/>
  <c r="J35"/>
  <c r="I35"/>
  <c r="H35"/>
  <c r="N35" s="1"/>
  <c r="M32"/>
  <c r="L32"/>
  <c r="K32"/>
  <c r="J32"/>
  <c r="N32" s="1"/>
  <c r="I32"/>
  <c r="H32"/>
  <c r="M29"/>
  <c r="L29"/>
  <c r="K29"/>
  <c r="J29"/>
  <c r="N29" s="1"/>
  <c r="I29"/>
  <c r="H29"/>
  <c r="M25"/>
  <c r="L25"/>
  <c r="K25"/>
  <c r="J25"/>
  <c r="I25"/>
  <c r="H25"/>
  <c r="N25" s="1"/>
  <c r="M22"/>
  <c r="L22"/>
  <c r="K22"/>
  <c r="J22"/>
  <c r="I22"/>
  <c r="H22"/>
  <c r="N22" s="1"/>
  <c r="M20"/>
  <c r="L20"/>
  <c r="K20"/>
  <c r="J20"/>
  <c r="N20" s="1"/>
  <c r="I20"/>
  <c r="H20"/>
  <c r="M17"/>
  <c r="L17"/>
  <c r="K17"/>
  <c r="J17"/>
  <c r="N17" s="1"/>
  <c r="I17"/>
  <c r="H17"/>
  <c r="M16"/>
  <c r="L16"/>
  <c r="K16"/>
  <c r="J16"/>
  <c r="I16"/>
  <c r="H16"/>
  <c r="N16" s="1"/>
  <c r="M15"/>
  <c r="L15"/>
  <c r="K15"/>
  <c r="J15"/>
  <c r="I15"/>
  <c r="H15"/>
  <c r="N15" s="1"/>
  <c r="M13"/>
  <c r="L13"/>
  <c r="K13"/>
  <c r="J13"/>
  <c r="N13" s="1"/>
  <c r="I13"/>
  <c r="H13"/>
  <c r="M11"/>
  <c r="L11"/>
  <c r="K11"/>
  <c r="J11"/>
  <c r="N11" s="1"/>
  <c r="I11"/>
  <c r="H11"/>
  <c r="M10"/>
  <c r="M46" s="1"/>
  <c r="L10"/>
  <c r="K10"/>
  <c r="J10"/>
  <c r="I10"/>
  <c r="I46" s="1"/>
  <c r="H10"/>
  <c r="N10" s="1"/>
  <c r="M6"/>
  <c r="L6"/>
  <c r="L46" s="1"/>
  <c r="K6"/>
  <c r="K46" s="1"/>
  <c r="J6"/>
  <c r="J46" s="1"/>
  <c r="I6"/>
  <c r="H6"/>
  <c r="N6" s="1"/>
  <c r="N46" l="1"/>
  <c r="H46"/>
</calcChain>
</file>

<file path=xl/sharedStrings.xml><?xml version="1.0" encoding="utf-8"?>
<sst xmlns="http://schemas.openxmlformats.org/spreadsheetml/2006/main" count="121" uniqueCount="114">
  <si>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</si>
  <si>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</si>
  <si>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</si>
  <si>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</si>
  <si>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</si>
  <si>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</si>
  <si>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</si>
  <si>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</si>
  <si>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</si>
  <si>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</si>
  <si>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</si>
  <si>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</si>
  <si>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</si>
  <si>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</si>
  <si>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Макаренко 8</t>
  </si>
  <si>
    <t>Дата изменения:</t>
  </si>
  <si>
    <t>24.03.2022</t>
  </si>
  <si>
    <t>Общая площадь, кв.м:</t>
  </si>
  <si>
    <t>1.1</t>
  </si>
  <si>
    <t>Фундаменты</t>
  </si>
  <si>
    <t>1.1.7</t>
  </si>
  <si>
    <t>Восстановление (ремонт)  освещения и  вентиляции  подвала</t>
  </si>
  <si>
    <t>1.1.7.3</t>
  </si>
  <si>
    <t>Замена ламп накаливания</t>
  </si>
  <si>
    <t>100 шт.</t>
  </si>
  <si>
    <t>1.2</t>
  </si>
  <si>
    <t>Кирпичные, каменные и железобетонные стены</t>
  </si>
  <si>
    <t>1.2.17</t>
  </si>
  <si>
    <t>Окраска стен  помещений  общего  пользования</t>
  </si>
  <si>
    <t>1.2.17.1</t>
  </si>
  <si>
    <t>Клеевая окраска стен</t>
  </si>
  <si>
    <t>1.2.17.1.1</t>
  </si>
  <si>
    <t>Простая клеевая окраска стен</t>
  </si>
  <si>
    <t>100 м2 окрашенной поверхности</t>
  </si>
  <si>
    <t>1.2.17.2</t>
  </si>
  <si>
    <t>Известковая окраска ранее окрашенных поверхностей стен</t>
  </si>
  <si>
    <t>1.2.17.3</t>
  </si>
  <si>
    <t>Масляная окраска ранее окрашенных поверхностей</t>
  </si>
  <si>
    <t>1.2.17.3.1</t>
  </si>
  <si>
    <t>Простая масляная окраска ранее окрашенных поверхностей</t>
  </si>
  <si>
    <t>1.2.18</t>
  </si>
  <si>
    <t>Внутренняя отделка зданий</t>
  </si>
  <si>
    <t>1.2.18.1</t>
  </si>
  <si>
    <t>Ремонт внутренней штукатурки потолков отдельными местами</t>
  </si>
  <si>
    <t>100 кв. м</t>
  </si>
  <si>
    <t>1.2.18.6</t>
  </si>
  <si>
    <t>Известковая окраска ранее окрашенных поверхностей потолков</t>
  </si>
  <si>
    <t>100 кв.м</t>
  </si>
  <si>
    <t>1.2.18.12</t>
  </si>
  <si>
    <t>Перетирка штукатурки поверхностей стен и перегородок</t>
  </si>
  <si>
    <t>100 м2 поверхности</t>
  </si>
  <si>
    <t>1.7</t>
  </si>
  <si>
    <t>Перегородки</t>
  </si>
  <si>
    <t>1.7.5</t>
  </si>
  <si>
    <t>Восстановление  облицовки  перегородок</t>
  </si>
  <si>
    <t>1.7.5.6</t>
  </si>
  <si>
    <t>Восстановление (ремонт) штукатурки кирпичных, железобетонных и гипсокартонных перегородок известковым раствором площадью отдельных мест до 10 кв.м.</t>
  </si>
  <si>
    <t>100 кв.м.</t>
  </si>
  <si>
    <t>1.7.6</t>
  </si>
  <si>
    <t>Окраска  перегородок</t>
  </si>
  <si>
    <t>1.7.6.3</t>
  </si>
  <si>
    <t>Простая масляная окраска перегородок с расчисткой старой краски 10-35  %</t>
  </si>
  <si>
    <t>1.10</t>
  </si>
  <si>
    <t>Лестницы</t>
  </si>
  <si>
    <t>1.10.5</t>
  </si>
  <si>
    <t>Окраска  металлических  элементов  лестниц</t>
  </si>
  <si>
    <t>1.10.5.1</t>
  </si>
  <si>
    <t>Окраска масляными составами ранее окрашенных металлических решеток  без рельефа за 1 раз</t>
  </si>
  <si>
    <t xml:space="preserve"> 100 м2 окрашиваемой поверхности</t>
  </si>
  <si>
    <t>2.1</t>
  </si>
  <si>
    <t>Система теплоснабжения</t>
  </si>
  <si>
    <t>2.1.2</t>
  </si>
  <si>
    <t>Ремонт,  модернизация внутридомовых отопительных сетей</t>
  </si>
  <si>
    <t>2.1.2.1</t>
  </si>
  <si>
    <t>Смена отдельных участков трубопроводов из стальных водогазопроводных неоцинкованных труб на резьбе</t>
  </si>
  <si>
    <t>2.1.2.1.2</t>
  </si>
  <si>
    <t>Смена отдельных участков трубопроводов из стальных водогазопроводных неоцинкованных труб диаметром 20 мм</t>
  </si>
  <si>
    <t>100 м трубопровода</t>
  </si>
  <si>
    <t>2.2</t>
  </si>
  <si>
    <t>Системы холодного и горячего водоснабжения</t>
  </si>
  <si>
    <t>2.2.6</t>
  </si>
  <si>
    <t>Ремонт оборудования, приборов и арматуры водопроводной сети общего пользования</t>
  </si>
  <si>
    <t>2.2.6.1</t>
  </si>
  <si>
    <t>Смена вентилей и клапанов обратных муфтовых диаметром до 20 мм</t>
  </si>
  <si>
    <t>2.5</t>
  </si>
  <si>
    <t>Внутридомовое электро-, радио- и телеоборудование</t>
  </si>
  <si>
    <t>2.5.7</t>
  </si>
  <si>
    <t>Ремонт,  замена  осветительных установок  помещений   общего  пользования</t>
  </si>
  <si>
    <t>2.5.7.10</t>
  </si>
  <si>
    <t>Замена лампы на светодиодную</t>
  </si>
  <si>
    <t>1 лампа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</si>
  <si>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</si>
  <si>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</si>
  <si>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</si>
  <si>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</si>
  <si>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</si>
  <si>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</si>
  <si>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</si>
  <si>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</si>
  <si>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2.6.14.3.3</t>
  </si>
  <si>
    <t>Окончательная проверка при сдаче системы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</si>
  <si>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</si>
  <si>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</si>
  <si>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</si>
  <si>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</si>
  <si>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</si>
  <si>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2.6.14.5</t>
  </si>
  <si>
    <t>Устранение незначительных неисправностей в  системе   теплоснабжения</t>
  </si>
  <si>
    <t>2.6.14.5.5</t>
  </si>
  <si>
    <t>Ликвидация воздушных пробок в системе отопления</t>
  </si>
  <si>
    <t>2.6.14.5.5.1</t>
  </si>
  <si>
    <t>Ликвидация воздушных пробок в стояке системы отопления</t>
  </si>
  <si>
    <t>100 стояков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</si>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</sst>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9"/>
      <color rgb="FFFFFFFF"/>
      <name val="Calibri"/>
      <family val="2"/>
      <charset val="204"/>
    </font>
    <font>
      <b/>
      <sz val="18"/>
      <color rgb="FF000099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rgb="FF70707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0"/>
      <color rgb="FFFFFFFF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8" fillId="4" borderId="11" xfId="0" applyFont="1" applyFill="1" applyBorder="1" applyAlignment="1">
      <alignment indent="2"/>
    </xf>
    <xf numFmtId="0" fontId="8" fillId="4" borderId="11" xfId="0" applyFont="1" applyFill="1" applyBorder="1" applyAlignment="1">
      <alignment indent="3"/>
    </xf>
    <xf numFmtId="0" fontId="10" fillId="2" borderId="1" xfId="0" applyFont="1" applyFill="1" applyBorder="1" applyAlignment="1">
      <alignment horizontal="right" vertical="center" wrapText="1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6"/>
  <sheetViews>
    <sheetView tabSelected="1" workbookViewId="0">
      <pane ySplit="1" topLeftCell="A2" activePane="bottomLeft" state="frozen"/>
      <selection pane="bottomLeft" activeCell="D7" sqref="D7:N7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5" t="s">
        <v>14</v>
      </c>
      <c r="C2" s="35"/>
      <c r="D2" s="35"/>
      <c r="E2" s="35"/>
      <c r="F2" s="35"/>
      <c r="G2" s="35"/>
      <c r="H2" s="35"/>
      <c r="I2" s="35"/>
      <c r="J2" s="35"/>
      <c r="K2" s="35"/>
      <c r="L2" s="36" t="s">
        <v>15</v>
      </c>
      <c r="M2" s="36"/>
      <c r="N2" s="12" t="s">
        <v>16</v>
      </c>
    </row>
    <row r="3" spans="1:14" ht="15">
      <c r="B3" s="35"/>
      <c r="C3" s="35"/>
      <c r="D3" s="35"/>
      <c r="E3" s="35"/>
      <c r="F3" s="35"/>
      <c r="G3" s="35"/>
      <c r="H3" s="35"/>
      <c r="I3" s="35"/>
      <c r="J3" s="35"/>
      <c r="K3" s="35"/>
      <c r="L3" s="37" t="s">
        <v>17</v>
      </c>
      <c r="M3" s="37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0.31</v>
      </c>
      <c r="G6" s="24">
        <v>1</v>
      </c>
      <c r="H6" s="25">
        <f>F6 * G6 * 1717.8024</f>
        <v>532.51874399999997</v>
      </c>
      <c r="I6" s="25">
        <f>F6 * G6 * 2684.13</f>
        <v>832.08030000000008</v>
      </c>
      <c r="J6" s="25">
        <f>F6 * G6 * 0</f>
        <v>0</v>
      </c>
      <c r="K6" s="25">
        <f>F6 * G6 * 1635.347885</f>
        <v>506.95784434999996</v>
      </c>
      <c r="L6" s="25">
        <f>F6 * G6 * 673.178701</f>
        <v>208.68539731000001</v>
      </c>
      <c r="M6" s="25">
        <f>F6 * G6 * 343.56048</f>
        <v>106.5037488</v>
      </c>
      <c r="N6" s="26">
        <f>SUM(H6:M6)</f>
        <v>2186.7460344599999</v>
      </c>
    </row>
    <row r="7" spans="1:14" s="14" customFormat="1" ht="15">
      <c r="B7" s="15"/>
      <c r="C7" s="16" t="s">
        <v>25</v>
      </c>
      <c r="D7" s="33" t="s">
        <v>26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17" customFormat="1" ht="12.75">
      <c r="B8" s="18"/>
      <c r="C8" s="19" t="s">
        <v>27</v>
      </c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s="17" customFormat="1" ht="12.75">
      <c r="B9" s="18"/>
      <c r="C9" s="19" t="s">
        <v>29</v>
      </c>
      <c r="D9" s="30" t="s">
        <v>30</v>
      </c>
      <c r="E9" s="30"/>
      <c r="F9" s="30"/>
      <c r="G9" s="30"/>
      <c r="H9" s="30"/>
      <c r="I9" s="30"/>
      <c r="J9" s="30"/>
      <c r="K9" s="30"/>
      <c r="L9" s="30"/>
      <c r="M9" s="30"/>
      <c r="N9" s="30"/>
    </row>
    <row r="10" spans="1:14" ht="25.5">
      <c r="B10" s="20">
        <v>2</v>
      </c>
      <c r="C10" s="21" t="s">
        <v>31</v>
      </c>
      <c r="D10" s="22" t="s">
        <v>32</v>
      </c>
      <c r="E10" s="22" t="s">
        <v>33</v>
      </c>
      <c r="F10" s="23">
        <v>1.1400000000000001</v>
      </c>
      <c r="G10" s="24">
        <v>1</v>
      </c>
      <c r="H10" s="25">
        <f>F10 * G10 * 1380</f>
        <v>1573.2000000000003</v>
      </c>
      <c r="I10" s="25">
        <f>F10 * G10 * 448.663757</f>
        <v>511.47668298000002</v>
      </c>
      <c r="J10" s="25">
        <f>F10 * G10 * 0</f>
        <v>0</v>
      </c>
      <c r="K10" s="25">
        <f>F10 * G10 * 1313.76</f>
        <v>1497.6864</v>
      </c>
      <c r="L10" s="25">
        <f>F10 * G10 * 360.643707</f>
        <v>411.13382598000004</v>
      </c>
      <c r="M10" s="25">
        <f>F10 * G10 * 276</f>
        <v>314.64000000000004</v>
      </c>
      <c r="N10" s="26">
        <f>SUM(H10:M10)</f>
        <v>4308.1369089600003</v>
      </c>
    </row>
    <row r="11" spans="1:14" ht="25.5">
      <c r="B11" s="20">
        <v>3</v>
      </c>
      <c r="C11" s="21" t="s">
        <v>34</v>
      </c>
      <c r="D11" s="22" t="s">
        <v>35</v>
      </c>
      <c r="E11" s="22" t="s">
        <v>33</v>
      </c>
      <c r="F11" s="23">
        <v>1.1400000000000001</v>
      </c>
      <c r="G11" s="24">
        <v>1</v>
      </c>
      <c r="H11" s="25">
        <f>F11 * G11 * 1794</f>
        <v>2045.1600000000003</v>
      </c>
      <c r="I11" s="25">
        <f>F11 * G11 * 419.181225</f>
        <v>477.86659650000001</v>
      </c>
      <c r="J11" s="25">
        <f>F11 * G11 * 0</f>
        <v>0</v>
      </c>
      <c r="K11" s="25">
        <f>F11 * G11 * 1707.888</f>
        <v>1946.9923200000001</v>
      </c>
      <c r="L11" s="25">
        <f>F11 * G11 * 451.526202999999</f>
        <v>514.73987141999885</v>
      </c>
      <c r="M11" s="25">
        <f>F11 * G11 * 358.8</f>
        <v>409.03200000000004</v>
      </c>
      <c r="N11" s="26">
        <f>SUM(H11:M11)</f>
        <v>5393.7907879199993</v>
      </c>
    </row>
    <row r="12" spans="1:14" s="17" customFormat="1" ht="12.75">
      <c r="B12" s="18"/>
      <c r="C12" s="19" t="s">
        <v>36</v>
      </c>
      <c r="D12" s="30" t="s">
        <v>37</v>
      </c>
      <c r="E12" s="30"/>
      <c r="F12" s="30"/>
      <c r="G12" s="30"/>
      <c r="H12" s="30"/>
      <c r="I12" s="30"/>
      <c r="J12" s="30"/>
      <c r="K12" s="30"/>
      <c r="L12" s="30"/>
      <c r="M12" s="30"/>
      <c r="N12" s="30"/>
    </row>
    <row r="13" spans="1:14" ht="25.5">
      <c r="B13" s="20">
        <v>4</v>
      </c>
      <c r="C13" s="21" t="s">
        <v>38</v>
      </c>
      <c r="D13" s="22" t="s">
        <v>39</v>
      </c>
      <c r="E13" s="22" t="s">
        <v>33</v>
      </c>
      <c r="F13" s="23">
        <v>0.76</v>
      </c>
      <c r="G13" s="24">
        <v>1</v>
      </c>
      <c r="H13" s="25">
        <f>F13 * G13 * 6072</f>
        <v>4614.72</v>
      </c>
      <c r="I13" s="25">
        <f>F13 * G13 * 2240.512006</f>
        <v>1702.7891245599999</v>
      </c>
      <c r="J13" s="25">
        <f>F13 * G13 * 0</f>
        <v>0</v>
      </c>
      <c r="K13" s="25">
        <f>F13 * G13 * 5780.544</f>
        <v>4393.2134399999995</v>
      </c>
      <c r="L13" s="25">
        <f>F13 * G13 * 1614.936609</f>
        <v>1227.3518228400001</v>
      </c>
      <c r="M13" s="25">
        <f>F13 * G13 * 1214.4</f>
        <v>922.94400000000007</v>
      </c>
      <c r="N13" s="26">
        <f>SUM(H13:M13)</f>
        <v>12861.018387399999</v>
      </c>
    </row>
    <row r="14" spans="1:14" s="17" customFormat="1" ht="12.75">
      <c r="B14" s="18"/>
      <c r="C14" s="19" t="s">
        <v>40</v>
      </c>
      <c r="D14" s="34" t="s">
        <v>41</v>
      </c>
      <c r="E14" s="34"/>
      <c r="F14" s="34"/>
      <c r="G14" s="34"/>
      <c r="H14" s="34"/>
      <c r="I14" s="34"/>
      <c r="J14" s="34"/>
      <c r="K14" s="34"/>
      <c r="L14" s="34"/>
      <c r="M14" s="34"/>
      <c r="N14" s="34"/>
    </row>
    <row r="15" spans="1:14" ht="25.5">
      <c r="B15" s="20">
        <v>5</v>
      </c>
      <c r="C15" s="21" t="s">
        <v>42</v>
      </c>
      <c r="D15" s="22" t="s">
        <v>43</v>
      </c>
      <c r="E15" s="22" t="s">
        <v>44</v>
      </c>
      <c r="F15" s="23">
        <v>0.25</v>
      </c>
      <c r="G15" s="24">
        <v>1</v>
      </c>
      <c r="H15" s="25">
        <f>F15 * G15 * 49429.2</f>
        <v>12357.3</v>
      </c>
      <c r="I15" s="25">
        <f>F15 * G15 * 17366.40406</f>
        <v>4341.6010150000002</v>
      </c>
      <c r="J15" s="25">
        <f>F15 * G15 * 0</f>
        <v>0</v>
      </c>
      <c r="K15" s="25">
        <f>F15 * G15 * 47056.5984</f>
        <v>11764.149600000001</v>
      </c>
      <c r="L15" s="25">
        <f>F15 * G15 * 13054.363479</f>
        <v>3263.5908697499999</v>
      </c>
      <c r="M15" s="25">
        <f>F15 * G15 * 9885.84</f>
        <v>2471.46</v>
      </c>
      <c r="N15" s="26">
        <f>SUM(H15:M15)</f>
        <v>34198.101484749997</v>
      </c>
    </row>
    <row r="16" spans="1:14" ht="25.5">
      <c r="B16" s="20">
        <v>6</v>
      </c>
      <c r="C16" s="21" t="s">
        <v>45</v>
      </c>
      <c r="D16" s="22" t="s">
        <v>46</v>
      </c>
      <c r="E16" s="22" t="s">
        <v>47</v>
      </c>
      <c r="F16" s="23">
        <v>0.6</v>
      </c>
      <c r="G16" s="24">
        <v>1</v>
      </c>
      <c r="H16" s="25">
        <f>F16 * G16 * 2208</f>
        <v>1324.8</v>
      </c>
      <c r="I16" s="25">
        <f>F16 * G16 * 454.051749</f>
        <v>272.43104939999995</v>
      </c>
      <c r="J16" s="25">
        <f>F16 * G16 * 0</f>
        <v>0</v>
      </c>
      <c r="K16" s="25">
        <f>F16 * G16 * 2102.016</f>
        <v>1261.2095999999999</v>
      </c>
      <c r="L16" s="25">
        <f>F16 * G16 * 549.197948</f>
        <v>329.51876879999998</v>
      </c>
      <c r="M16" s="25">
        <f>F16 * G16 * 441.6</f>
        <v>264.95999999999998</v>
      </c>
      <c r="N16" s="26">
        <f>SUM(H16:M16)</f>
        <v>3452.9194181999997</v>
      </c>
    </row>
    <row r="17" spans="2:14">
      <c r="B17" s="20">
        <v>7</v>
      </c>
      <c r="C17" s="21" t="s">
        <v>48</v>
      </c>
      <c r="D17" s="22" t="s">
        <v>49</v>
      </c>
      <c r="E17" s="22" t="s">
        <v>50</v>
      </c>
      <c r="F17" s="23">
        <v>0.5</v>
      </c>
      <c r="G17" s="24">
        <v>1</v>
      </c>
      <c r="H17" s="25">
        <f>F17 * G17 * 4864.482</f>
        <v>2432.241</v>
      </c>
      <c r="I17" s="25">
        <f>F17 * G17 * 106.528474</f>
        <v>53.264237000000001</v>
      </c>
      <c r="J17" s="25">
        <f>F17 * G17 * 0</f>
        <v>0</v>
      </c>
      <c r="K17" s="25">
        <f>F17 * G17 * 4630.986864</f>
        <v>2315.4934320000002</v>
      </c>
      <c r="L17" s="25">
        <f>F17 * G17 * 1115.65129</f>
        <v>557.82564500000001</v>
      </c>
      <c r="M17" s="25">
        <f>F17 * G17 * 972.8964</f>
        <v>486.44819999999999</v>
      </c>
      <c r="N17" s="26">
        <f>SUM(H17:M17)</f>
        <v>5845.2725140000002</v>
      </c>
    </row>
    <row r="18" spans="2:14" s="14" customFormat="1" ht="15">
      <c r="B18" s="15"/>
      <c r="C18" s="16" t="s">
        <v>51</v>
      </c>
      <c r="D18" s="33" t="s">
        <v>52</v>
      </c>
      <c r="E18" s="33"/>
      <c r="F18" s="33"/>
      <c r="G18" s="33"/>
      <c r="H18" s="33"/>
      <c r="I18" s="33"/>
      <c r="J18" s="33"/>
      <c r="K18" s="33"/>
      <c r="L18" s="33"/>
      <c r="M18" s="33"/>
      <c r="N18" s="33"/>
    </row>
    <row r="19" spans="2:14" s="17" customFormat="1" ht="12.75">
      <c r="B19" s="18"/>
      <c r="C19" s="19" t="s">
        <v>53</v>
      </c>
      <c r="D19" s="34" t="s">
        <v>54</v>
      </c>
      <c r="E19" s="34"/>
      <c r="F19" s="34"/>
      <c r="G19" s="34"/>
      <c r="H19" s="34"/>
      <c r="I19" s="34"/>
      <c r="J19" s="34"/>
      <c r="K19" s="34"/>
      <c r="L19" s="34"/>
      <c r="M19" s="34"/>
      <c r="N19" s="34"/>
    </row>
    <row r="20" spans="2:14" ht="51">
      <c r="B20" s="20">
        <v>8</v>
      </c>
      <c r="C20" s="21" t="s">
        <v>55</v>
      </c>
      <c r="D20" s="22" t="s">
        <v>56</v>
      </c>
      <c r="E20" s="22" t="s">
        <v>57</v>
      </c>
      <c r="F20" s="23">
        <v>0.25</v>
      </c>
      <c r="G20" s="24">
        <v>1</v>
      </c>
      <c r="H20" s="25">
        <f>F20 * G20 * 36699.53064</f>
        <v>9174.8826599999993</v>
      </c>
      <c r="I20" s="25">
        <f>F20 * G20 * 12635.89668</f>
        <v>3158.97417</v>
      </c>
      <c r="J20" s="25">
        <f>F20 * G20 * 205.132158</f>
        <v>51.283039500000001</v>
      </c>
      <c r="K20" s="25">
        <f>F20 * G20 * 35104.766061</f>
        <v>8776.1915152500005</v>
      </c>
      <c r="L20" s="25">
        <f>F20 * G20 * 9708.139159</f>
        <v>2427.0347897500001</v>
      </c>
      <c r="M20" s="25">
        <f>F20 * G20 * 7374.950853</f>
        <v>1843.7377132500001</v>
      </c>
      <c r="N20" s="26">
        <f>SUM(H20:M20)</f>
        <v>25432.10388775</v>
      </c>
    </row>
    <row r="21" spans="2:14" s="17" customFormat="1" ht="12.75">
      <c r="B21" s="18"/>
      <c r="C21" s="19" t="s">
        <v>58</v>
      </c>
      <c r="D21" s="34" t="s">
        <v>59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2:14" ht="25.5">
      <c r="B22" s="20">
        <v>9</v>
      </c>
      <c r="C22" s="21" t="s">
        <v>60</v>
      </c>
      <c r="D22" s="22" t="s">
        <v>61</v>
      </c>
      <c r="E22" s="22" t="s">
        <v>57</v>
      </c>
      <c r="F22" s="23">
        <v>2.5</v>
      </c>
      <c r="G22" s="24">
        <v>1</v>
      </c>
      <c r="H22" s="25">
        <f>F22 * G22 * 4594.02</f>
        <v>11485.050000000001</v>
      </c>
      <c r="I22" s="25">
        <f>F22 * G22 * 2100.335666</f>
        <v>5250.8391649999994</v>
      </c>
      <c r="J22" s="25">
        <f>F22 * G22 * 0</f>
        <v>0</v>
      </c>
      <c r="K22" s="25">
        <f>F22 * G22 * 4373.50703999999</f>
        <v>10933.767599999976</v>
      </c>
      <c r="L22" s="25">
        <f>F22 * G22 * 1264.593338</f>
        <v>3161.4833449999996</v>
      </c>
      <c r="M22" s="25">
        <f>F22 * G22 * 918.804</f>
        <v>2297.0099999999998</v>
      </c>
      <c r="N22" s="26">
        <f>SUM(H22:M22)</f>
        <v>33128.15010999998</v>
      </c>
    </row>
    <row r="23" spans="2:14" s="14" customFormat="1" ht="15">
      <c r="B23" s="15"/>
      <c r="C23" s="16" t="s">
        <v>62</v>
      </c>
      <c r="D23" s="33" t="s">
        <v>63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</row>
    <row r="24" spans="2:14" s="17" customFormat="1" ht="12.75">
      <c r="B24" s="18"/>
      <c r="C24" s="19" t="s">
        <v>64</v>
      </c>
      <c r="D24" s="34" t="s">
        <v>65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</row>
    <row r="25" spans="2:14" ht="25.5">
      <c r="B25" s="20">
        <v>10</v>
      </c>
      <c r="C25" s="21" t="s">
        <v>66</v>
      </c>
      <c r="D25" s="22" t="s">
        <v>67</v>
      </c>
      <c r="E25" s="22" t="s">
        <v>68</v>
      </c>
      <c r="F25" s="23">
        <v>0.3</v>
      </c>
      <c r="G25" s="24">
        <v>1</v>
      </c>
      <c r="H25" s="25">
        <f>F25 * G25 * 8659.5</f>
        <v>2597.85</v>
      </c>
      <c r="I25" s="25">
        <f>F25 * G25 * 1090.294211</f>
        <v>327.08826329999994</v>
      </c>
      <c r="J25" s="25">
        <f>F25 * G25 * 0</f>
        <v>0</v>
      </c>
      <c r="K25" s="25">
        <f>F25 * G25 * 8243.844</f>
        <v>2473.1531999999997</v>
      </c>
      <c r="L25" s="25">
        <f>F25 * G25 * 2081.044281</f>
        <v>624.31328429999996</v>
      </c>
      <c r="M25" s="25">
        <f>F25 * G25 * 1731.9</f>
        <v>519.57000000000005</v>
      </c>
      <c r="N25" s="26">
        <f>SUM(H25:M25)</f>
        <v>6541.9747475999993</v>
      </c>
    </row>
    <row r="26" spans="2:14" s="14" customFormat="1" ht="15">
      <c r="B26" s="15"/>
      <c r="C26" s="16" t="s">
        <v>69</v>
      </c>
      <c r="D26" s="33" t="s">
        <v>70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</row>
    <row r="27" spans="2:14" s="17" customFormat="1" ht="12.75">
      <c r="B27" s="18"/>
      <c r="C27" s="19" t="s">
        <v>71</v>
      </c>
      <c r="D27" s="34" t="s">
        <v>72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</row>
    <row r="28" spans="2:14" s="17" customFormat="1" ht="12.75">
      <c r="B28" s="18"/>
      <c r="C28" s="19" t="s">
        <v>73</v>
      </c>
      <c r="D28" s="30" t="s">
        <v>74</v>
      </c>
      <c r="E28" s="30"/>
      <c r="F28" s="30"/>
      <c r="G28" s="30"/>
      <c r="H28" s="30"/>
      <c r="I28" s="30"/>
      <c r="J28" s="30"/>
      <c r="K28" s="30"/>
      <c r="L28" s="30"/>
      <c r="M28" s="30"/>
      <c r="N28" s="30"/>
    </row>
    <row r="29" spans="2:14" ht="38.25">
      <c r="B29" s="20">
        <v>11</v>
      </c>
      <c r="C29" s="21" t="s">
        <v>75</v>
      </c>
      <c r="D29" s="22" t="s">
        <v>76</v>
      </c>
      <c r="E29" s="22" t="s">
        <v>77</v>
      </c>
      <c r="F29" s="23">
        <v>0.04</v>
      </c>
      <c r="G29" s="24">
        <v>1</v>
      </c>
      <c r="H29" s="25">
        <f>F29 * G29 * 22070.1378</f>
        <v>882.80551200000002</v>
      </c>
      <c r="I29" s="25">
        <f>F29 * G29 * 10897.981095</f>
        <v>435.9192438</v>
      </c>
      <c r="J29" s="25">
        <f>F29 * G29 * 0</f>
        <v>0</v>
      </c>
      <c r="K29" s="25">
        <f>F29 * G29 * 21010.7711859999</f>
        <v>840.430847439996</v>
      </c>
      <c r="L29" s="25">
        <f>F29 * G29 * 6160.452811</f>
        <v>246.41811244000002</v>
      </c>
      <c r="M29" s="25">
        <f>F29 * G29 * 4414.02756</f>
        <v>176.56110240000001</v>
      </c>
      <c r="N29" s="26">
        <f>SUM(H29:M29)</f>
        <v>2582.134818079996</v>
      </c>
    </row>
    <row r="30" spans="2:14" s="14" customFormat="1" ht="15">
      <c r="B30" s="15"/>
      <c r="C30" s="16" t="s">
        <v>78</v>
      </c>
      <c r="D30" s="33" t="s">
        <v>79</v>
      </c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1" spans="2:14" s="17" customFormat="1" ht="12.75">
      <c r="B31" s="18"/>
      <c r="C31" s="19" t="s">
        <v>80</v>
      </c>
      <c r="D31" s="34" t="s">
        <v>81</v>
      </c>
      <c r="E31" s="34"/>
      <c r="F31" s="34"/>
      <c r="G31" s="34"/>
      <c r="H31" s="34"/>
      <c r="I31" s="34"/>
      <c r="J31" s="34"/>
      <c r="K31" s="34"/>
      <c r="L31" s="34"/>
      <c r="M31" s="34"/>
      <c r="N31" s="34"/>
    </row>
    <row r="32" spans="2:14" ht="25.5">
      <c r="B32" s="20">
        <v>12</v>
      </c>
      <c r="C32" s="21" t="s">
        <v>82</v>
      </c>
      <c r="D32" s="22" t="s">
        <v>83</v>
      </c>
      <c r="E32" s="22" t="s">
        <v>24</v>
      </c>
      <c r="F32" s="23">
        <v>0.03</v>
      </c>
      <c r="G32" s="24">
        <v>1</v>
      </c>
      <c r="H32" s="25">
        <f>F32 * G32 * 20853.288</f>
        <v>625.59864000000005</v>
      </c>
      <c r="I32" s="25">
        <f>F32 * G32 * 14281.888527</f>
        <v>428.45665580999997</v>
      </c>
      <c r="J32" s="25">
        <f>F32 * G32 * 0</f>
        <v>0</v>
      </c>
      <c r="K32" s="25">
        <f>F32 * G32 * 19852.330176</f>
        <v>595.56990527999994</v>
      </c>
      <c r="L32" s="25">
        <f>F32 * G32 * 6241.186334</f>
        <v>187.23559001999999</v>
      </c>
      <c r="M32" s="25">
        <f>F32 * G32 * 4170.6576</f>
        <v>125.11972799999998</v>
      </c>
      <c r="N32" s="26">
        <f>SUM(H32:M32)</f>
        <v>1961.9805191099997</v>
      </c>
    </row>
    <row r="33" spans="2:14" s="14" customFormat="1" ht="15">
      <c r="B33" s="15"/>
      <c r="C33" s="16" t="s">
        <v>84</v>
      </c>
      <c r="D33" s="33" t="s">
        <v>85</v>
      </c>
      <c r="E33" s="33"/>
      <c r="F33" s="33"/>
      <c r="G33" s="33"/>
      <c r="H33" s="33"/>
      <c r="I33" s="33"/>
      <c r="J33" s="33"/>
      <c r="K33" s="33"/>
      <c r="L33" s="33"/>
      <c r="M33" s="33"/>
      <c r="N33" s="33"/>
    </row>
    <row r="34" spans="2:14" s="17" customFormat="1" ht="12.75">
      <c r="B34" s="18"/>
      <c r="C34" s="19" t="s">
        <v>86</v>
      </c>
      <c r="D34" s="34" t="s">
        <v>87</v>
      </c>
      <c r="E34" s="34"/>
      <c r="F34" s="34"/>
      <c r="G34" s="34"/>
      <c r="H34" s="34"/>
      <c r="I34" s="34"/>
      <c r="J34" s="34"/>
      <c r="K34" s="34"/>
      <c r="L34" s="34"/>
      <c r="M34" s="34"/>
      <c r="N34" s="34"/>
    </row>
    <row r="35" spans="2:14">
      <c r="B35" s="20">
        <v>13</v>
      </c>
      <c r="C35" s="21" t="s">
        <v>88</v>
      </c>
      <c r="D35" s="22" t="s">
        <v>89</v>
      </c>
      <c r="E35" s="22" t="s">
        <v>90</v>
      </c>
      <c r="F35" s="23">
        <v>3</v>
      </c>
      <c r="G35" s="24">
        <v>1</v>
      </c>
      <c r="H35" s="25">
        <f>F35 * G35 * 22.98468</f>
        <v>68.954040000000006</v>
      </c>
      <c r="I35" s="25">
        <f>F35 * G35 * 54.672</f>
        <v>164.01599999999999</v>
      </c>
      <c r="J35" s="25">
        <f>F35 * G35 * 0</f>
        <v>0</v>
      </c>
      <c r="K35" s="25">
        <f>F35 * G35 * 21.881415</f>
        <v>65.644244999999998</v>
      </c>
      <c r="L35" s="25">
        <f>F35 * G35 * 10.986246</f>
        <v>32.958737999999997</v>
      </c>
      <c r="M35" s="25">
        <f>F35 * G35 * 4.596936</f>
        <v>13.790808000000002</v>
      </c>
      <c r="N35" s="26">
        <f>SUM(H35:M35)</f>
        <v>345.363831</v>
      </c>
    </row>
    <row r="36" spans="2:14" s="14" customFormat="1" ht="15">
      <c r="B36" s="15"/>
      <c r="C36" s="16" t="s">
        <v>91</v>
      </c>
      <c r="D36" s="33" t="s">
        <v>92</v>
      </c>
      <c r="E36" s="33"/>
      <c r="F36" s="33"/>
      <c r="G36" s="33"/>
      <c r="H36" s="33"/>
      <c r="I36" s="33"/>
      <c r="J36" s="33"/>
      <c r="K36" s="33"/>
      <c r="L36" s="33"/>
      <c r="M36" s="33"/>
      <c r="N36" s="33"/>
    </row>
    <row r="37" spans="2:14" s="17" customFormat="1" ht="12.75">
      <c r="B37" s="18"/>
      <c r="C37" s="19" t="s">
        <v>93</v>
      </c>
      <c r="D37" s="34" t="s">
        <v>94</v>
      </c>
      <c r="E37" s="34"/>
      <c r="F37" s="34"/>
      <c r="G37" s="34"/>
      <c r="H37" s="34"/>
      <c r="I37" s="34"/>
      <c r="J37" s="34"/>
      <c r="K37" s="34"/>
      <c r="L37" s="34"/>
      <c r="M37" s="34"/>
      <c r="N37" s="34"/>
    </row>
    <row r="38" spans="2:14" s="17" customFormat="1" ht="12.75">
      <c r="B38" s="18"/>
      <c r="C38" s="19" t="s">
        <v>95</v>
      </c>
      <c r="D38" s="30" t="s">
        <v>96</v>
      </c>
      <c r="E38" s="30"/>
      <c r="F38" s="30"/>
      <c r="G38" s="30"/>
      <c r="H38" s="30"/>
      <c r="I38" s="30"/>
      <c r="J38" s="30"/>
      <c r="K38" s="30"/>
      <c r="L38" s="30"/>
      <c r="M38" s="30"/>
      <c r="N38" s="30"/>
    </row>
    <row r="39" spans="2:14" ht="25.5">
      <c r="B39" s="20">
        <v>14</v>
      </c>
      <c r="C39" s="21" t="s">
        <v>97</v>
      </c>
      <c r="D39" s="22" t="s">
        <v>98</v>
      </c>
      <c r="E39" s="22" t="s">
        <v>77</v>
      </c>
      <c r="F39" s="23">
        <v>19.2</v>
      </c>
      <c r="G39" s="24">
        <v>1</v>
      </c>
      <c r="H39" s="25">
        <f>F39 * G39 * 950.793</f>
        <v>18255.225599999998</v>
      </c>
      <c r="I39" s="25">
        <f>F39 * G39 * 7.170829</f>
        <v>137.6799168</v>
      </c>
      <c r="J39" s="25">
        <f>F39 * G39 * 0</f>
        <v>0</v>
      </c>
      <c r="K39" s="25">
        <f>F39 * G39 * 905.154935999999</f>
        <v>17378.974771199981</v>
      </c>
      <c r="L39" s="25">
        <f>F39 * G39 * 216.620762</f>
        <v>4159.1186304000003</v>
      </c>
      <c r="M39" s="25">
        <f>F39 * G39 * 190.1586</f>
        <v>3651.0451200000002</v>
      </c>
      <c r="N39" s="26">
        <f>SUM(H39:M39)</f>
        <v>43582.044038399981</v>
      </c>
    </row>
    <row r="40" spans="2:14" ht="25.5">
      <c r="B40" s="20">
        <v>15</v>
      </c>
      <c r="C40" s="21" t="s">
        <v>99</v>
      </c>
      <c r="D40" s="22" t="s">
        <v>100</v>
      </c>
      <c r="E40" s="22" t="s">
        <v>77</v>
      </c>
      <c r="F40" s="23">
        <v>19.2</v>
      </c>
      <c r="G40" s="24">
        <v>1</v>
      </c>
      <c r="H40" s="25">
        <f>F40 * G40 * 400.009997</f>
        <v>7680.1919423999998</v>
      </c>
      <c r="I40" s="25">
        <f>F40 * G40 * 0</f>
        <v>0</v>
      </c>
      <c r="J40" s="25">
        <f>F40 * G40 * 68.046825</f>
        <v>1306.4990399999999</v>
      </c>
      <c r="K40" s="25">
        <f>F40 * G40 * 380.809517</f>
        <v>7311.5427264</v>
      </c>
      <c r="L40" s="25">
        <f>F40 * G40 * 97.99561</f>
        <v>1881.5157119999999</v>
      </c>
      <c r="M40" s="25">
        <f>F40 * G40 * 80.001999</f>
        <v>1536.0383807999999</v>
      </c>
      <c r="N40" s="26">
        <f>SUM(H40:M40)</f>
        <v>19715.7878016</v>
      </c>
    </row>
    <row r="41" spans="2:14" s="17" customFormat="1" ht="12.75">
      <c r="B41" s="18"/>
      <c r="C41" s="19" t="s">
        <v>101</v>
      </c>
      <c r="D41" s="30" t="s">
        <v>102</v>
      </c>
      <c r="E41" s="30"/>
      <c r="F41" s="30"/>
      <c r="G41" s="30"/>
      <c r="H41" s="30"/>
      <c r="I41" s="30"/>
      <c r="J41" s="30"/>
      <c r="K41" s="30"/>
      <c r="L41" s="30"/>
      <c r="M41" s="30"/>
      <c r="N41" s="30"/>
    </row>
    <row r="42" spans="2:14" ht="25.5">
      <c r="B42" s="20">
        <v>16</v>
      </c>
      <c r="C42" s="21" t="s">
        <v>103</v>
      </c>
      <c r="D42" s="22" t="s">
        <v>104</v>
      </c>
      <c r="E42" s="22" t="s">
        <v>105</v>
      </c>
      <c r="F42" s="23">
        <v>57.6</v>
      </c>
      <c r="G42" s="24">
        <v>1</v>
      </c>
      <c r="H42" s="25">
        <f>F42 * G42 * 223.97976</f>
        <v>12901.234176</v>
      </c>
      <c r="I42" s="25">
        <f>F42 * G42 * 0</f>
        <v>0</v>
      </c>
      <c r="J42" s="25">
        <f>F42 * G42 * 0</f>
        <v>0</v>
      </c>
      <c r="K42" s="25">
        <f>F42 * G42 * 213.228732</f>
        <v>12281.9749632</v>
      </c>
      <c r="L42" s="25">
        <f>F42 * G42 * 50.8514689999999</f>
        <v>2929.0446143999943</v>
      </c>
      <c r="M42" s="25">
        <f>F42 * G42 * 44.795952</f>
        <v>2580.2468352000001</v>
      </c>
      <c r="N42" s="26">
        <f>SUM(H42:M42)</f>
        <v>30692.500588799994</v>
      </c>
    </row>
    <row r="43" spans="2:14" s="17" customFormat="1" ht="12.75">
      <c r="B43" s="18"/>
      <c r="C43" s="19" t="s">
        <v>106</v>
      </c>
      <c r="D43" s="30" t="s">
        <v>107</v>
      </c>
      <c r="E43" s="30"/>
      <c r="F43" s="30"/>
      <c r="G43" s="30"/>
      <c r="H43" s="30"/>
      <c r="I43" s="30"/>
      <c r="J43" s="30"/>
      <c r="K43" s="30"/>
      <c r="L43" s="30"/>
      <c r="M43" s="30"/>
      <c r="N43" s="30"/>
    </row>
    <row r="44" spans="2:14" s="17" customFormat="1" ht="12.75">
      <c r="B44" s="18"/>
      <c r="C44" s="19" t="s">
        <v>108</v>
      </c>
      <c r="D44" s="31" t="s">
        <v>109</v>
      </c>
      <c r="E44" s="31"/>
      <c r="F44" s="31"/>
      <c r="G44" s="31"/>
      <c r="H44" s="31"/>
      <c r="I44" s="31"/>
      <c r="J44" s="31"/>
      <c r="K44" s="31"/>
      <c r="L44" s="31"/>
      <c r="M44" s="31"/>
      <c r="N44" s="31"/>
    </row>
    <row r="45" spans="2:14" ht="25.5">
      <c r="B45" s="20">
        <v>17</v>
      </c>
      <c r="C45" s="21" t="s">
        <v>110</v>
      </c>
      <c r="D45" s="22" t="s">
        <v>111</v>
      </c>
      <c r="E45" s="22" t="s">
        <v>112</v>
      </c>
      <c r="F45" s="23">
        <v>0.11</v>
      </c>
      <c r="G45" s="24">
        <v>1</v>
      </c>
      <c r="H45" s="25">
        <f>F45 * G45 * 13548.864</f>
        <v>1490.3750399999999</v>
      </c>
      <c r="I45" s="25">
        <f>F45 * G45 * 0</f>
        <v>0</v>
      </c>
      <c r="J45" s="25">
        <f>F45 * G45 * 0</f>
        <v>0</v>
      </c>
      <c r="K45" s="25">
        <f>F45 * G45 * 12898.518528</f>
        <v>1418.83703808</v>
      </c>
      <c r="L45" s="25">
        <f>F45 * G45 * 3076.079887</f>
        <v>338.36878756999999</v>
      </c>
      <c r="M45" s="25">
        <f>F45 * G45 * 2709.7728</f>
        <v>298.07500800000003</v>
      </c>
      <c r="N45" s="26">
        <f>SUM(H45:M45)</f>
        <v>3545.6558736499992</v>
      </c>
    </row>
    <row r="46" spans="2:14" s="27" customFormat="1" ht="20.100000000000001" customHeight="1">
      <c r="B46" s="32" t="s">
        <v>113</v>
      </c>
      <c r="C46" s="32"/>
      <c r="D46" s="32"/>
      <c r="E46" s="32"/>
      <c r="F46" s="32"/>
      <c r="G46" s="32"/>
      <c r="H46" s="28">
        <f t="shared" ref="H46:N46" si="0">SUM(H4:H45)</f>
        <v>90042.107354399981</v>
      </c>
      <c r="I46" s="28">
        <f t="shared" si="0"/>
        <v>18094.482420149998</v>
      </c>
      <c r="J46" s="28">
        <f t="shared" si="0"/>
        <v>1357.7820795</v>
      </c>
      <c r="K46" s="28">
        <f t="shared" si="0"/>
        <v>85761.789448199954</v>
      </c>
      <c r="L46" s="28">
        <f t="shared" si="0"/>
        <v>22500.337804979994</v>
      </c>
      <c r="M46" s="28">
        <f t="shared" si="0"/>
        <v>18017.182644450004</v>
      </c>
      <c r="N46" s="29">
        <f t="shared" si="0"/>
        <v>235773.68175167992</v>
      </c>
    </row>
  </sheetData>
  <mergeCells count="29">
    <mergeCell ref="B2:K3"/>
    <mergeCell ref="L2:M2"/>
    <mergeCell ref="L3:M3"/>
    <mergeCell ref="D4:N4"/>
    <mergeCell ref="D5:N5"/>
    <mergeCell ref="D7:N7"/>
    <mergeCell ref="D8:N8"/>
    <mergeCell ref="D9:N9"/>
    <mergeCell ref="D12:N12"/>
    <mergeCell ref="D14:N14"/>
    <mergeCell ref="D18:N18"/>
    <mergeCell ref="D19:N19"/>
    <mergeCell ref="D21:N21"/>
    <mergeCell ref="D23:N23"/>
    <mergeCell ref="D24:N24"/>
    <mergeCell ref="D26:N26"/>
    <mergeCell ref="D27:N27"/>
    <mergeCell ref="D28:N28"/>
    <mergeCell ref="D30:N30"/>
    <mergeCell ref="D31:N31"/>
    <mergeCell ref="D41:N41"/>
    <mergeCell ref="D43:N43"/>
    <mergeCell ref="D44:N44"/>
    <mergeCell ref="B46:G46"/>
    <mergeCell ref="D33:N33"/>
    <mergeCell ref="D34:N34"/>
    <mergeCell ref="D36:N36"/>
    <mergeCell ref="D37:N37"/>
    <mergeCell ref="D38:N38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&amp;C&amp;KCCCCCC&amp;"Arial"Макаренко 8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Макаренко 8</dc:title>
  <dc:creator/>
  <cp:lastModifiedBy/>
  <cp:lastPrinted>2022-03-24T08:12:25Z</cp:lastPrinted>
  <dcterms:created xsi:type="dcterms:W3CDTF">2022-03-24T08:12:25Z</dcterms:created>
  <dcterms:modified xsi:type="dcterms:W3CDTF">2022-03-24T08:15:09Z</dcterms:modified>
</cp:coreProperties>
</file>