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/>
  <bookViews>
    <workbookView xWindow="360" yWindow="525" windowWidth="19815" windowHeight="7365"/>
  </bookViews>
  <sheets>
    <sheet name="Смета" sheetId="1" r:id="rId1"/>
  </sheets>
  <definedNames>
    <definedName name="_xlnm.Print_Titles" localSheetId="0">Смета!$1:$1</definedName>
  </definedNames>
  <calcPr calcId="124519"/>
</workbook>
</file>

<file path=xl/calcChain.xml><?xml version="1.0" encoding="utf-8"?>
<calcChain xmlns="http://schemas.openxmlformats.org/spreadsheetml/2006/main">
  <c r="M37" i="1"/>
  <c r="L37"/>
  <c r="K37"/>
  <c r="J37"/>
  <c r="N37" s="1"/>
  <c r="I37"/>
  <c r="H37"/>
  <c r="M34"/>
  <c r="L34"/>
  <c r="K34"/>
  <c r="J34"/>
  <c r="I34"/>
  <c r="N34" s="1"/>
  <c r="H34"/>
  <c r="M32"/>
  <c r="L32"/>
  <c r="K32"/>
  <c r="J32"/>
  <c r="I32"/>
  <c r="H32"/>
  <c r="N32" s="1"/>
  <c r="M31"/>
  <c r="L31"/>
  <c r="K31"/>
  <c r="J31"/>
  <c r="I31"/>
  <c r="H31"/>
  <c r="N31" s="1"/>
  <c r="M27"/>
  <c r="L27"/>
  <c r="K27"/>
  <c r="J27"/>
  <c r="N27" s="1"/>
  <c r="I27"/>
  <c r="H27"/>
  <c r="M26"/>
  <c r="L26"/>
  <c r="K26"/>
  <c r="J26"/>
  <c r="I26"/>
  <c r="N26" s="1"/>
  <c r="H26"/>
  <c r="M24"/>
  <c r="L24"/>
  <c r="K24"/>
  <c r="J24"/>
  <c r="I24"/>
  <c r="H24"/>
  <c r="N24" s="1"/>
  <c r="M22"/>
  <c r="L22"/>
  <c r="K22"/>
  <c r="J22"/>
  <c r="I22"/>
  <c r="H22"/>
  <c r="N22" s="1"/>
  <c r="M18"/>
  <c r="L18"/>
  <c r="K18"/>
  <c r="J18"/>
  <c r="N18" s="1"/>
  <c r="I18"/>
  <c r="H18"/>
  <c r="M15"/>
  <c r="L15"/>
  <c r="K15"/>
  <c r="J15"/>
  <c r="I15"/>
  <c r="N15" s="1"/>
  <c r="H15"/>
  <c r="M14"/>
  <c r="L14"/>
  <c r="K14"/>
  <c r="J14"/>
  <c r="I14"/>
  <c r="H14"/>
  <c r="N14" s="1"/>
  <c r="M13"/>
  <c r="L13"/>
  <c r="K13"/>
  <c r="J13"/>
  <c r="I13"/>
  <c r="H13"/>
  <c r="N13" s="1"/>
  <c r="M9"/>
  <c r="L9"/>
  <c r="K9"/>
  <c r="J9"/>
  <c r="N9" s="1"/>
  <c r="I9"/>
  <c r="H9"/>
  <c r="M6"/>
  <c r="M38" s="1"/>
  <c r="L6"/>
  <c r="L38" s="1"/>
  <c r="K6"/>
  <c r="K38" s="1"/>
  <c r="J6"/>
  <c r="J38" s="1"/>
  <c r="I6"/>
  <c r="N6" s="1"/>
  <c r="N38" s="1"/>
  <c r="H6"/>
  <c r="H38" s="1"/>
  <c r="I38" l="1"/>
</calcChain>
</file>

<file path=xl/sharedStrings.xml><?xml version="1.0" encoding="utf-8"?>
<sst xmlns="http://schemas.openxmlformats.org/spreadsheetml/2006/main" count="102" uniqueCount="95">
  <si>
    <t/>
  </si>
  <si>
    <t>№ ПП</t>
  </si>
  <si>
    <t>КОД</t>
  </si>
  <si>
    <t>НАЗВАНИЕ РАБОТЫ</t>
  </si>
  <si>
    <t>ИЗМЕРИТЕЛЬ</t>
  </si>
  <si>
    <t>КОЛ-ВО ЕД. ИЗМ.</t>
  </si>
  <si>
    <t>ПЕРИОДИЧ- НОСТЬ В ГОД</t>
  </si>
  <si>
    <t>ТРУД. РЕСУРСЫ, РУБ.</t>
  </si>
  <si>
    <t>МАТЕР. РЕСУРСЫ, РУБ.</t>
  </si>
  <si>
    <t>МАШ. МЕХ., РУБ.</t>
  </si>
  <si>
    <t>НАКЛ. РАСХОДЫ, РУБ.</t>
  </si>
  <si>
    <t>ПРИБЫЛЬ, РУБ.</t>
  </si>
  <si>
    <t>РАСХОДЫ НА УПРАВ., РУБ.</t>
  </si>
  <si>
    <t>СТОИМОСТЬ, РУБ.</t>
  </si>
  <si>
    <t>Машинистов 1</t>
  </si>
  <si>
    <t>Дата изменения:</t>
  </si>
  <si>
    <t>24.03.2022</t>
  </si>
  <si>
    <t>Общая площадь, кв.м:</t>
  </si>
  <si>
    <t>1.1</t>
  </si>
  <si>
    <t>Фундаменты</t>
  </si>
  <si>
    <t>1.1.7</t>
  </si>
  <si>
    <t>Восстановление (ремонт)  освещения и  вентиляции  подвала</t>
  </si>
  <si>
    <t>1.1.7.3</t>
  </si>
  <si>
    <t>Замена ламп накаливания</t>
  </si>
  <si>
    <t>100 шт.</t>
  </si>
  <si>
    <t>1.9</t>
  </si>
  <si>
    <t>Оконные и дверные проемы</t>
  </si>
  <si>
    <t>1.9.1</t>
  </si>
  <si>
    <t>Восстановление (ремонт) дверей в помещениях  общего  пользования</t>
  </si>
  <si>
    <t>1.9.1.22</t>
  </si>
  <si>
    <t>Простая масляная окраска дверей</t>
  </si>
  <si>
    <t>100 кв.м.</t>
  </si>
  <si>
    <t>2.1</t>
  </si>
  <si>
    <t>Система теплоснабжения</t>
  </si>
  <si>
    <t>2.1.2</t>
  </si>
  <si>
    <t>Ремонт,  модернизация внутридомовых отопительных сетей</t>
  </si>
  <si>
    <t>2.1.2.1</t>
  </si>
  <si>
    <t>Смена отдельных участков трубопроводов из стальных водогазопроводных неоцинкованных труб на резьбе</t>
  </si>
  <si>
    <t>2.1.2.1.2</t>
  </si>
  <si>
    <t>Смена отдельных участков трубопроводов из стальных водогазопроводных неоцинкованных труб диаметром 20 мм</t>
  </si>
  <si>
    <t>100 м трубопровода</t>
  </si>
  <si>
    <t>2.1.2.1.3</t>
  </si>
  <si>
    <t>Смена отдельных участков трубопроводов из стальных водогазопроводных неоцинкованных труб диаметром 25 мм</t>
  </si>
  <si>
    <t>2.1.2.1.4</t>
  </si>
  <si>
    <t>Смена отдельных участков трубопроводов из стальных водогазопроводных неоцинкованных труб диаметром 32 мм</t>
  </si>
  <si>
    <t>2.1.8</t>
  </si>
  <si>
    <t>Ремонт  насосов,  магистральной запорной арматуры,  автоматических устройств</t>
  </si>
  <si>
    <t>2.1.8.8</t>
  </si>
  <si>
    <t>Смена вентиля</t>
  </si>
  <si>
    <t>2.1.8.8.3</t>
  </si>
  <si>
    <t>Смена вентиля диаметром свыше 26 до 50  мм</t>
  </si>
  <si>
    <t>100 вентилей</t>
  </si>
  <si>
    <t>2.2</t>
  </si>
  <si>
    <t>Системы холодного и горячего водоснабжения</t>
  </si>
  <si>
    <t>2.2.1</t>
  </si>
  <si>
    <t>Ремонт,  замена  внутридомовых сетей водоснабжения</t>
  </si>
  <si>
    <t>2.2.1.7</t>
  </si>
  <si>
    <t>Смена сгонов у трубопроводов</t>
  </si>
  <si>
    <t>2.2.1.7.1</t>
  </si>
  <si>
    <t>Смена сгонов у трубопроводов диаметром до 20 мм</t>
  </si>
  <si>
    <t>100 сгонов</t>
  </si>
  <si>
    <t>2.2.1.8</t>
  </si>
  <si>
    <t>Уплотнение сгонов</t>
  </si>
  <si>
    <t>2.2.1.8.1</t>
  </si>
  <si>
    <t>Уплотнение сгонов с применением льняной пряди или асбестового шнура (без разборки сгонов) диаметром до 20 мм</t>
  </si>
  <si>
    <t>1 сгон</t>
  </si>
  <si>
    <t>2.2.6</t>
  </si>
  <si>
    <t>Ремонт оборудования, приборов и арматуры водопроводной сети общего пользования</t>
  </si>
  <si>
    <t>2.2.6.1</t>
  </si>
  <si>
    <t>Смена вентилей и клапанов обратных муфтовых диаметром до 20 мм</t>
  </si>
  <si>
    <t>2.2.6.5</t>
  </si>
  <si>
    <t>Смена задвижек диаметром до 100 мм</t>
  </si>
  <si>
    <t>2.6</t>
  </si>
  <si>
    <t>Подготовка многоквартирного дома к сезонной эксплуатации, проведение технических осмотров</t>
  </si>
  <si>
    <t>2.6.14</t>
  </si>
  <si>
    <t>Проведение технических осмотров и устранение незначительных неисправностей в  системе   теплоснабжения</t>
  </si>
  <si>
    <t>2.6.14.3</t>
  </si>
  <si>
    <t>Гидравлическое испытание трубопроводов систем центрального отопления (расконсервация)</t>
  </si>
  <si>
    <t>2.6.14.3.2</t>
  </si>
  <si>
    <t>Рабочая проверка системы в целом при диаметре трубопровода до 50 мм</t>
  </si>
  <si>
    <t>2.6.14.3.3</t>
  </si>
  <si>
    <t>Окончательная проверка при сдаче системы при диаметре трубопровода до 50 мм</t>
  </si>
  <si>
    <t>2.6.14.4</t>
  </si>
  <si>
    <t>Промывка трубопроводов системы центрального отопления</t>
  </si>
  <si>
    <t>2.6.14.4.1</t>
  </si>
  <si>
    <t>Промывка трубопроводов системы центрального отопления до 50 мм</t>
  </si>
  <si>
    <t>10 м трубопровода (100 м3 здания)</t>
  </si>
  <si>
    <t>2.6.14.5</t>
  </si>
  <si>
    <t>Устранение незначительных неисправностей в  системе   теплоснабжения</t>
  </si>
  <si>
    <t>2.6.14.5.5</t>
  </si>
  <si>
    <t>Ликвидация воздушных пробок в системе отопления</t>
  </si>
  <si>
    <t>2.6.14.5.5.1</t>
  </si>
  <si>
    <t>Ликвидация воздушных пробок в стояке системы отопления</t>
  </si>
  <si>
    <t>100 стояков</t>
  </si>
  <si>
    <t>ИТОГО:</t>
  </si>
</sst>
</file>

<file path=xl/styles.xml><?xml version="1.0" encoding="utf-8"?>
<styleSheet xmlns="http://schemas.openxmlformats.org/spreadsheetml/2006/main">
  <numFmts count="1">
    <numFmt numFmtId="164" formatCode="#\ ###\ ##0.00"/>
  </numFmts>
  <fonts count="11">
    <font>
      <sz val="11"/>
      <color theme="1"/>
      <name val="Calibri"/>
      <family val="2"/>
      <scheme val="minor"/>
    </font>
    <font>
      <sz val="9"/>
      <name val="Calibri"/>
    </font>
    <font>
      <sz val="10"/>
      <name val="Calibri"/>
    </font>
    <font>
      <sz val="12"/>
      <name val="Calibri"/>
    </font>
    <font>
      <b/>
      <sz val="9"/>
      <color rgb="FFFFFFFF"/>
      <name val="Calibri"/>
    </font>
    <font>
      <b/>
      <sz val="18"/>
      <color rgb="FF000099"/>
      <name val="Calibri"/>
    </font>
    <font>
      <i/>
      <sz val="11"/>
      <name val="Calibri"/>
    </font>
    <font>
      <b/>
      <sz val="11"/>
      <name val="Calibri"/>
    </font>
    <font>
      <b/>
      <sz val="10"/>
      <color rgb="FF707070"/>
      <name val="Calibri"/>
    </font>
    <font>
      <b/>
      <sz val="11"/>
      <color rgb="FFFFFFFF"/>
      <name val="Calibri"/>
    </font>
    <font>
      <b/>
      <sz val="10"/>
      <color rgb="FFFFFFFF"/>
      <name val="Calibri"/>
    </font>
  </fonts>
  <fills count="8">
    <fill>
      <patternFill patternType="none"/>
    </fill>
    <fill>
      <patternFill patternType="gray125"/>
    </fill>
    <fill>
      <patternFill patternType="solid">
        <fgColor rgb="FF546E7A"/>
      </patternFill>
    </fill>
    <fill>
      <patternFill patternType="solid">
        <fgColor rgb="FFDCE6F1"/>
      </patternFill>
    </fill>
    <fill>
      <patternFill patternType="solid">
        <fgColor rgb="FFF2F2F2"/>
      </patternFill>
    </fill>
    <fill>
      <patternFill patternType="solid">
        <fgColor rgb="FFF9F7ED"/>
      </patternFill>
    </fill>
    <fill>
      <patternFill patternType="solid">
        <fgColor rgb="FFF5F2E0"/>
      </patternFill>
    </fill>
    <fill>
      <patternFill patternType="solid">
        <fgColor rgb="FFEBF1DE"/>
      </patternFill>
    </fill>
  </fills>
  <borders count="12">
    <border>
      <left/>
      <right/>
      <top/>
      <bottom/>
      <diagonal/>
    </border>
    <border>
      <left style="thick">
        <color rgb="FF000000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n">
        <color rgb="FFFFFFFF"/>
      </right>
      <top style="thick">
        <color rgb="FF000000"/>
      </top>
      <bottom style="thick">
        <color rgb="FF000000"/>
      </bottom>
      <diagonal/>
    </border>
    <border>
      <left style="thin">
        <color rgb="FFFFFFFF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top" wrapText="1" indent="1"/>
    </xf>
    <xf numFmtId="49" fontId="2" fillId="0" borderId="0" xfId="0" applyNumberFormat="1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indent="1"/>
    </xf>
    <xf numFmtId="164" fontId="2" fillId="0" borderId="0" xfId="0" applyNumberFormat="1" applyFont="1" applyAlignment="1">
      <alignment horizontal="right" vertical="top" indent="1"/>
    </xf>
    <xf numFmtId="0" fontId="4" fillId="0" borderId="0" xfId="0" applyFont="1" applyAlignment="1">
      <alignment horizontal="center" vertical="center" wrapText="1" indent="1"/>
    </xf>
    <xf numFmtId="0" fontId="4" fillId="2" borderId="1" xfId="0" applyFont="1" applyFill="1" applyBorder="1" applyAlignment="1">
      <alignment horizontal="center" vertical="center" wrapText="1" indent="1"/>
    </xf>
    <xf numFmtId="49" fontId="4" fillId="2" borderId="2" xfId="0" applyNumberFormat="1" applyFont="1" applyFill="1" applyBorder="1" applyAlignment="1">
      <alignment horizontal="center" vertical="center" wrapText="1" indent="1"/>
    </xf>
    <xf numFmtId="0" fontId="4" fillId="2" borderId="2" xfId="0" applyFont="1" applyFill="1" applyBorder="1" applyAlignment="1">
      <alignment horizontal="center" vertical="center" wrapText="1" indent="1"/>
    </xf>
    <xf numFmtId="164" fontId="4" fillId="2" borderId="2" xfId="0" applyNumberFormat="1" applyFont="1" applyFill="1" applyBorder="1" applyAlignment="1">
      <alignment horizontal="center" vertical="center" wrapText="1" indent="1"/>
    </xf>
    <xf numFmtId="164" fontId="4" fillId="2" borderId="3" xfId="0" applyNumberFormat="1" applyFont="1" applyFill="1" applyBorder="1" applyAlignment="1">
      <alignment horizontal="center" vertical="center" wrapText="1" indent="1"/>
    </xf>
    <xf numFmtId="0" fontId="6" fillId="0" borderId="6" xfId="0" applyFont="1" applyBorder="1" applyAlignment="1">
      <alignment horizontal="left" indent="1"/>
    </xf>
    <xf numFmtId="164" fontId="6" fillId="0" borderId="8" xfId="0" applyNumberFormat="1" applyFont="1" applyBorder="1" applyAlignment="1">
      <alignment horizontal="left" indent="1"/>
    </xf>
    <xf numFmtId="0" fontId="7" fillId="0" borderId="0" xfId="0" applyFont="1"/>
    <xf numFmtId="0" fontId="7" fillId="3" borderId="9" xfId="0" applyFont="1" applyFill="1" applyBorder="1" applyAlignment="1">
      <alignment horizontal="center" vertical="top" wrapText="1" indent="1"/>
    </xf>
    <xf numFmtId="49" fontId="7" fillId="3" borderId="10" xfId="0" applyNumberFormat="1" applyFont="1" applyFill="1" applyBorder="1" applyAlignment="1">
      <alignment horizontal="left" vertical="top" wrapText="1" indent="1"/>
    </xf>
    <xf numFmtId="0" fontId="8" fillId="0" borderId="0" xfId="0" applyFont="1"/>
    <xf numFmtId="0" fontId="8" fillId="4" borderId="9" xfId="0" applyFont="1" applyFill="1" applyBorder="1" applyAlignment="1">
      <alignment horizontal="center" vertical="top" wrapText="1" indent="1"/>
    </xf>
    <xf numFmtId="49" fontId="8" fillId="4" borderId="10" xfId="0" applyNumberFormat="1" applyFont="1" applyFill="1" applyBorder="1" applyAlignment="1">
      <alignment horizontal="left" vertical="top" wrapText="1" indent="1"/>
    </xf>
    <xf numFmtId="0" fontId="1" fillId="0" borderId="9" xfId="0" applyFont="1" applyBorder="1" applyAlignment="1">
      <alignment horizontal="center" vertical="top" wrapText="1" indent="1"/>
    </xf>
    <xf numFmtId="49" fontId="2" fillId="0" borderId="10" xfId="0" applyNumberFormat="1" applyFont="1" applyBorder="1" applyAlignment="1">
      <alignment horizontal="left" vertical="top" wrapText="1" indent="1"/>
    </xf>
    <xf numFmtId="0" fontId="2" fillId="0" borderId="10" xfId="0" applyFont="1" applyBorder="1" applyAlignment="1">
      <alignment horizontal="left" vertical="top" wrapText="1"/>
    </xf>
    <xf numFmtId="0" fontId="3" fillId="5" borderId="10" xfId="0" applyFont="1" applyFill="1" applyBorder="1" applyAlignment="1">
      <alignment horizontal="right" vertical="top" indent="1"/>
    </xf>
    <xf numFmtId="0" fontId="3" fillId="6" borderId="10" xfId="0" applyFont="1" applyFill="1" applyBorder="1" applyAlignment="1">
      <alignment horizontal="right" vertical="top" indent="1"/>
    </xf>
    <xf numFmtId="164" fontId="2" fillId="0" borderId="10" xfId="0" applyNumberFormat="1" applyFont="1" applyBorder="1" applyAlignment="1">
      <alignment horizontal="right" vertical="top" indent="1"/>
    </xf>
    <xf numFmtId="164" fontId="2" fillId="7" borderId="11" xfId="0" applyNumberFormat="1" applyFont="1" applyFill="1" applyBorder="1" applyAlignment="1">
      <alignment horizontal="right" vertical="top" indent="1"/>
    </xf>
    <xf numFmtId="0" fontId="9" fillId="0" borderId="0" xfId="0" applyFont="1" applyAlignment="1">
      <alignment horizontal="right" vertical="center" wrapText="1" indent="1"/>
    </xf>
    <xf numFmtId="164" fontId="9" fillId="2" borderId="2" xfId="0" applyNumberFormat="1" applyFont="1" applyFill="1" applyBorder="1" applyAlignment="1">
      <alignment horizontal="right" vertical="center" wrapText="1" indent="1"/>
    </xf>
    <xf numFmtId="164" fontId="9" fillId="2" borderId="3" xfId="0" applyNumberFormat="1" applyFont="1" applyFill="1" applyBorder="1" applyAlignment="1">
      <alignment horizontal="right" vertical="center" wrapText="1" indent="1"/>
    </xf>
    <xf numFmtId="0" fontId="5" fillId="0" borderId="4" xfId="0" applyFont="1" applyBorder="1" applyAlignment="1">
      <alignment horizontal="left" vertical="center" indent="1"/>
    </xf>
    <xf numFmtId="164" fontId="6" fillId="0" borderId="5" xfId="0" applyNumberFormat="1" applyFont="1" applyBorder="1" applyAlignment="1">
      <alignment horizontal="right" indent="1"/>
    </xf>
    <xf numFmtId="164" fontId="6" fillId="0" borderId="7" xfId="0" applyNumberFormat="1" applyFont="1" applyBorder="1" applyAlignment="1">
      <alignment horizontal="right" indent="1"/>
    </xf>
    <xf numFmtId="0" fontId="7" fillId="3" borderId="11" xfId="0" applyFont="1" applyFill="1" applyBorder="1" applyAlignment="1">
      <alignment horizontal="left" vertical="top" wrapText="1"/>
    </xf>
    <xf numFmtId="0" fontId="8" fillId="4" borderId="11" xfId="0" applyFont="1" applyFill="1" applyBorder="1" applyAlignment="1">
      <alignment indent="1"/>
    </xf>
    <xf numFmtId="0" fontId="8" fillId="4" borderId="11" xfId="0" applyFont="1" applyFill="1" applyBorder="1" applyAlignment="1">
      <alignment indent="2"/>
    </xf>
    <xf numFmtId="0" fontId="8" fillId="4" borderId="11" xfId="0" applyFont="1" applyFill="1" applyBorder="1" applyAlignment="1">
      <alignment indent="3"/>
    </xf>
    <xf numFmtId="0" fontId="10" fillId="2" borderId="1" xfId="0" applyFont="1" applyFill="1" applyBorder="1" applyAlignment="1">
      <alignment horizontal="right" vertical="center" wrapText="1" inden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tabSelected="1" workbookViewId="0">
      <pane ySplit="1" topLeftCell="A2" activePane="bottomLeft" state="frozen"/>
      <selection pane="bottomLeft" activeCell="D7" sqref="D7:N7"/>
    </sheetView>
  </sheetViews>
  <sheetFormatPr defaultRowHeight="15.75"/>
  <cols>
    <col min="1" max="1" width="3" customWidth="1"/>
    <col min="2" max="2" width="6" style="1" customWidth="1"/>
    <col min="3" max="3" width="13" style="2" customWidth="1"/>
    <col min="4" max="4" width="50" style="3" customWidth="1"/>
    <col min="5" max="5" width="20" style="3" customWidth="1"/>
    <col min="6" max="7" width="12" style="4" customWidth="1"/>
    <col min="8" max="9" width="14" style="5" customWidth="1"/>
    <col min="10" max="10" width="13" style="5" customWidth="1"/>
    <col min="11" max="13" width="14" style="5" customWidth="1"/>
    <col min="14" max="14" width="16" style="5" customWidth="1"/>
  </cols>
  <sheetData>
    <row r="1" spans="1:14" s="6" customFormat="1" ht="39.950000000000003" customHeight="1">
      <c r="A1" s="6" t="s">
        <v>0</v>
      </c>
      <c r="B1" s="7" t="s">
        <v>1</v>
      </c>
      <c r="C1" s="8" t="s">
        <v>2</v>
      </c>
      <c r="D1" s="9" t="s">
        <v>3</v>
      </c>
      <c r="E1" s="9" t="s">
        <v>4</v>
      </c>
      <c r="F1" s="9" t="s">
        <v>5</v>
      </c>
      <c r="G1" s="9" t="s">
        <v>6</v>
      </c>
      <c r="H1" s="10" t="s">
        <v>7</v>
      </c>
      <c r="I1" s="10" t="s">
        <v>8</v>
      </c>
      <c r="J1" s="10" t="s">
        <v>9</v>
      </c>
      <c r="K1" s="10" t="s">
        <v>10</v>
      </c>
      <c r="L1" s="10" t="s">
        <v>11</v>
      </c>
      <c r="M1" s="10" t="s">
        <v>12</v>
      </c>
      <c r="N1" s="11" t="s">
        <v>13</v>
      </c>
    </row>
    <row r="2" spans="1:14" ht="15">
      <c r="A2" t="s">
        <v>0</v>
      </c>
      <c r="B2" s="30" t="s">
        <v>14</v>
      </c>
      <c r="C2" s="30"/>
      <c r="D2" s="30"/>
      <c r="E2" s="30"/>
      <c r="F2" s="30"/>
      <c r="G2" s="30"/>
      <c r="H2" s="30"/>
      <c r="I2" s="30"/>
      <c r="J2" s="30"/>
      <c r="K2" s="30"/>
      <c r="L2" s="31" t="s">
        <v>15</v>
      </c>
      <c r="M2" s="31"/>
      <c r="N2" s="12" t="s">
        <v>16</v>
      </c>
    </row>
    <row r="3" spans="1:14" ht="15">
      <c r="B3" s="30"/>
      <c r="C3" s="30"/>
      <c r="D3" s="30"/>
      <c r="E3" s="30"/>
      <c r="F3" s="30"/>
      <c r="G3" s="30"/>
      <c r="H3" s="30"/>
      <c r="I3" s="30"/>
      <c r="J3" s="30"/>
      <c r="K3" s="30"/>
      <c r="L3" s="32" t="s">
        <v>17</v>
      </c>
      <c r="M3" s="32"/>
      <c r="N3" s="13">
        <v>0</v>
      </c>
    </row>
    <row r="4" spans="1:14" s="14" customFormat="1" ht="15">
      <c r="B4" s="15"/>
      <c r="C4" s="16" t="s">
        <v>18</v>
      </c>
      <c r="D4" s="33" t="s">
        <v>19</v>
      </c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17" customFormat="1" ht="12.75">
      <c r="B5" s="18"/>
      <c r="C5" s="19" t="s">
        <v>20</v>
      </c>
      <c r="D5" s="34" t="s">
        <v>21</v>
      </c>
      <c r="E5" s="34"/>
      <c r="F5" s="34"/>
      <c r="G5" s="34"/>
      <c r="H5" s="34"/>
      <c r="I5" s="34"/>
      <c r="J5" s="34"/>
      <c r="K5" s="34"/>
      <c r="L5" s="34"/>
      <c r="M5" s="34"/>
      <c r="N5" s="34"/>
    </row>
    <row r="6" spans="1:14">
      <c r="B6" s="20">
        <v>1</v>
      </c>
      <c r="C6" s="21" t="s">
        <v>22</v>
      </c>
      <c r="D6" s="22" t="s">
        <v>23</v>
      </c>
      <c r="E6" s="22" t="s">
        <v>24</v>
      </c>
      <c r="F6" s="23">
        <v>0.05</v>
      </c>
      <c r="G6" s="24">
        <v>1</v>
      </c>
      <c r="H6" s="25">
        <f>F6 * G6 * 1717.8024</f>
        <v>85.89012000000001</v>
      </c>
      <c r="I6" s="25">
        <f>F6 * G6 * 2684.13</f>
        <v>134.20650000000001</v>
      </c>
      <c r="J6" s="25">
        <f>F6 * G6 * 0</f>
        <v>0</v>
      </c>
      <c r="K6" s="25">
        <f>F6 * G6 * 1635.347885</f>
        <v>81.767394249999995</v>
      </c>
      <c r="L6" s="25">
        <f>F6 * G6 * 673.178701</f>
        <v>33.658935050000004</v>
      </c>
      <c r="M6" s="25">
        <f>F6 * G6 * 343.56048</f>
        <v>17.178024000000001</v>
      </c>
      <c r="N6" s="26">
        <f>SUM(H6:M6)</f>
        <v>352.70097330000004</v>
      </c>
    </row>
    <row r="7" spans="1:14" s="14" customFormat="1" ht="15">
      <c r="B7" s="15"/>
      <c r="C7" s="16" t="s">
        <v>25</v>
      </c>
      <c r="D7" s="33" t="s">
        <v>26</v>
      </c>
      <c r="E7" s="33"/>
      <c r="F7" s="33"/>
      <c r="G7" s="33"/>
      <c r="H7" s="33"/>
      <c r="I7" s="33"/>
      <c r="J7" s="33"/>
      <c r="K7" s="33"/>
      <c r="L7" s="33"/>
      <c r="M7" s="33"/>
      <c r="N7" s="33"/>
    </row>
    <row r="8" spans="1:14" s="17" customFormat="1" ht="12.75">
      <c r="B8" s="18"/>
      <c r="C8" s="19" t="s">
        <v>27</v>
      </c>
      <c r="D8" s="34" t="s">
        <v>28</v>
      </c>
      <c r="E8" s="34"/>
      <c r="F8" s="34"/>
      <c r="G8" s="34"/>
      <c r="H8" s="34"/>
      <c r="I8" s="34"/>
      <c r="J8" s="34"/>
      <c r="K8" s="34"/>
      <c r="L8" s="34"/>
      <c r="M8" s="34"/>
      <c r="N8" s="34"/>
    </row>
    <row r="9" spans="1:14">
      <c r="B9" s="20">
        <v>2</v>
      </c>
      <c r="C9" s="21" t="s">
        <v>29</v>
      </c>
      <c r="D9" s="22" t="s">
        <v>30</v>
      </c>
      <c r="E9" s="22" t="s">
        <v>31</v>
      </c>
      <c r="F9" s="23">
        <v>0.05</v>
      </c>
      <c r="G9" s="24">
        <v>1</v>
      </c>
      <c r="H9" s="25">
        <f>F9 * G9 * 7314</f>
        <v>365.70000000000005</v>
      </c>
      <c r="I9" s="25">
        <f>F9 * G9 * 2986.115776</f>
        <v>149.30578880000002</v>
      </c>
      <c r="J9" s="25">
        <f>F9 * G9 * 0</f>
        <v>0</v>
      </c>
      <c r="K9" s="25">
        <f>F9 * G9 * 6962.928</f>
        <v>348.14640000000003</v>
      </c>
      <c r="L9" s="25">
        <f>F9 * G9 * 1975.57651799999</f>
        <v>98.778825899999504</v>
      </c>
      <c r="M9" s="25">
        <f>F9 * G9 * 1462.8</f>
        <v>73.14</v>
      </c>
      <c r="N9" s="26">
        <f>SUM(H9:M9)</f>
        <v>1035.0710146999998</v>
      </c>
    </row>
    <row r="10" spans="1:14" s="14" customFormat="1" ht="15">
      <c r="B10" s="15"/>
      <c r="C10" s="16" t="s">
        <v>32</v>
      </c>
      <c r="D10" s="33" t="s">
        <v>33</v>
      </c>
      <c r="E10" s="33"/>
      <c r="F10" s="33"/>
      <c r="G10" s="33"/>
      <c r="H10" s="33"/>
      <c r="I10" s="33"/>
      <c r="J10" s="33"/>
      <c r="K10" s="33"/>
      <c r="L10" s="33"/>
      <c r="M10" s="33"/>
      <c r="N10" s="33"/>
    </row>
    <row r="11" spans="1:14" s="17" customFormat="1" ht="12.75">
      <c r="B11" s="18"/>
      <c r="C11" s="19" t="s">
        <v>34</v>
      </c>
      <c r="D11" s="34" t="s">
        <v>35</v>
      </c>
      <c r="E11" s="34"/>
      <c r="F11" s="34"/>
      <c r="G11" s="34"/>
      <c r="H11" s="34"/>
      <c r="I11" s="34"/>
      <c r="J11" s="34"/>
      <c r="K11" s="34"/>
      <c r="L11" s="34"/>
      <c r="M11" s="34"/>
      <c r="N11" s="34"/>
    </row>
    <row r="12" spans="1:14" s="17" customFormat="1" ht="12.75">
      <c r="B12" s="18"/>
      <c r="C12" s="19" t="s">
        <v>36</v>
      </c>
      <c r="D12" s="35" t="s">
        <v>37</v>
      </c>
      <c r="E12" s="35"/>
      <c r="F12" s="35"/>
      <c r="G12" s="35"/>
      <c r="H12" s="35"/>
      <c r="I12" s="35"/>
      <c r="J12" s="35"/>
      <c r="K12" s="35"/>
      <c r="L12" s="35"/>
      <c r="M12" s="35"/>
      <c r="N12" s="35"/>
    </row>
    <row r="13" spans="1:14" ht="38.25">
      <c r="B13" s="20">
        <v>3</v>
      </c>
      <c r="C13" s="21" t="s">
        <v>38</v>
      </c>
      <c r="D13" s="22" t="s">
        <v>39</v>
      </c>
      <c r="E13" s="22" t="s">
        <v>40</v>
      </c>
      <c r="F13" s="23">
        <v>0.01</v>
      </c>
      <c r="G13" s="24">
        <v>1</v>
      </c>
      <c r="H13" s="25">
        <f>F13 * G13 * 22070.1378</f>
        <v>220.70137800000001</v>
      </c>
      <c r="I13" s="25">
        <f>F13 * G13 * 10897.981095</f>
        <v>108.97981095</v>
      </c>
      <c r="J13" s="25">
        <f>F13 * G13 * 0</f>
        <v>0</v>
      </c>
      <c r="K13" s="25">
        <f>F13 * G13 * 21010.7711859999</f>
        <v>210.107711859999</v>
      </c>
      <c r="L13" s="25">
        <f>F13 * G13 * 6160.452811</f>
        <v>61.604528110000004</v>
      </c>
      <c r="M13" s="25">
        <f>F13 * G13 * 4414.02756</f>
        <v>44.140275600000002</v>
      </c>
      <c r="N13" s="26">
        <f>SUM(H13:M13)</f>
        <v>645.53370451999899</v>
      </c>
    </row>
    <row r="14" spans="1:14" ht="38.25">
      <c r="B14" s="20">
        <v>4</v>
      </c>
      <c r="C14" s="21" t="s">
        <v>41</v>
      </c>
      <c r="D14" s="22" t="s">
        <v>42</v>
      </c>
      <c r="E14" s="22" t="s">
        <v>40</v>
      </c>
      <c r="F14" s="23">
        <v>0.16</v>
      </c>
      <c r="G14" s="24">
        <v>1</v>
      </c>
      <c r="H14" s="25">
        <f>F14 * G14 * 22490.286</f>
        <v>3598.4457600000001</v>
      </c>
      <c r="I14" s="25">
        <f>F14 * G14 * 15520.079455</f>
        <v>2483.2127127999997</v>
      </c>
      <c r="J14" s="25">
        <f>F14 * G14 * 0</f>
        <v>0</v>
      </c>
      <c r="K14" s="25">
        <f>F14 * G14 * 21410.752272</f>
        <v>3425.7203635200003</v>
      </c>
      <c r="L14" s="25">
        <f>F14 * G14 * 6743.472955</f>
        <v>1078.9556728</v>
      </c>
      <c r="M14" s="25">
        <f>F14 * G14 * 4498.0572</f>
        <v>719.68915200000004</v>
      </c>
      <c r="N14" s="26">
        <f>SUM(H14:M14)</f>
        <v>11306.023661120002</v>
      </c>
    </row>
    <row r="15" spans="1:14" ht="38.25">
      <c r="B15" s="20">
        <v>5</v>
      </c>
      <c r="C15" s="21" t="s">
        <v>43</v>
      </c>
      <c r="D15" s="22" t="s">
        <v>44</v>
      </c>
      <c r="E15" s="22" t="s">
        <v>40</v>
      </c>
      <c r="F15" s="23">
        <v>0.04</v>
      </c>
      <c r="G15" s="24">
        <v>1</v>
      </c>
      <c r="H15" s="25">
        <f>F15 * G15 * 22490.286</f>
        <v>899.61144000000002</v>
      </c>
      <c r="I15" s="25">
        <f>F15 * G15 * 25106.015612</f>
        <v>1004.24062448</v>
      </c>
      <c r="J15" s="25">
        <f>F15 * G15 * 0</f>
        <v>0</v>
      </c>
      <c r="K15" s="25">
        <f>F15 * G15 * 21410.752272</f>
        <v>856.43009088000008</v>
      </c>
      <c r="L15" s="25">
        <f>F15 * G15 * 7754.789219</f>
        <v>310.19156876</v>
      </c>
      <c r="M15" s="25">
        <f>F15 * G15 * 4498.0572</f>
        <v>179.92228800000001</v>
      </c>
      <c r="N15" s="26">
        <f>SUM(H15:M15)</f>
        <v>3250.3960121200003</v>
      </c>
    </row>
    <row r="16" spans="1:14" s="17" customFormat="1" ht="12.75">
      <c r="B16" s="18"/>
      <c r="C16" s="19" t="s">
        <v>45</v>
      </c>
      <c r="D16" s="34" t="s">
        <v>46</v>
      </c>
      <c r="E16" s="34"/>
      <c r="F16" s="34"/>
      <c r="G16" s="34"/>
      <c r="H16" s="34"/>
      <c r="I16" s="34"/>
      <c r="J16" s="34"/>
      <c r="K16" s="34"/>
      <c r="L16" s="34"/>
      <c r="M16" s="34"/>
      <c r="N16" s="34"/>
    </row>
    <row r="17" spans="2:14" s="17" customFormat="1" ht="12.75">
      <c r="B17" s="18"/>
      <c r="C17" s="19" t="s">
        <v>47</v>
      </c>
      <c r="D17" s="35" t="s">
        <v>48</v>
      </c>
      <c r="E17" s="35"/>
      <c r="F17" s="35"/>
      <c r="G17" s="35"/>
      <c r="H17" s="35"/>
      <c r="I17" s="35"/>
      <c r="J17" s="35"/>
      <c r="K17" s="35"/>
      <c r="L17" s="35"/>
      <c r="M17" s="35"/>
      <c r="N17" s="35"/>
    </row>
    <row r="18" spans="2:14">
      <c r="B18" s="20">
        <v>6</v>
      </c>
      <c r="C18" s="21" t="s">
        <v>49</v>
      </c>
      <c r="D18" s="22" t="s">
        <v>50</v>
      </c>
      <c r="E18" s="22" t="s">
        <v>51</v>
      </c>
      <c r="F18" s="23">
        <v>0.02</v>
      </c>
      <c r="G18" s="24">
        <v>1</v>
      </c>
      <c r="H18" s="25">
        <f>F18 * G18 * 14193.504</f>
        <v>283.87008000000003</v>
      </c>
      <c r="I18" s="25">
        <f>F18 * G18 * 32819.802078</f>
        <v>656.39604156000007</v>
      </c>
      <c r="J18" s="25">
        <f>F18 * G18 * 0</f>
        <v>0</v>
      </c>
      <c r="K18" s="25">
        <f>F18 * G18 * 13512.2158079999</f>
        <v>270.24431615999799</v>
      </c>
      <c r="L18" s="25">
        <f>F18 * G18 * 6684.925493</f>
        <v>133.69850986</v>
      </c>
      <c r="M18" s="25">
        <f>F18 * G18 * 2838.7008</f>
        <v>56.774016000000003</v>
      </c>
      <c r="N18" s="26">
        <f>SUM(H18:M18)</f>
        <v>1400.9829635799983</v>
      </c>
    </row>
    <row r="19" spans="2:14" s="14" customFormat="1" ht="15">
      <c r="B19" s="15"/>
      <c r="C19" s="16" t="s">
        <v>52</v>
      </c>
      <c r="D19" s="33" t="s">
        <v>53</v>
      </c>
      <c r="E19" s="33"/>
      <c r="F19" s="33"/>
      <c r="G19" s="33"/>
      <c r="H19" s="33"/>
      <c r="I19" s="33"/>
      <c r="J19" s="33"/>
      <c r="K19" s="33"/>
      <c r="L19" s="33"/>
      <c r="M19" s="33"/>
      <c r="N19" s="33"/>
    </row>
    <row r="20" spans="2:14" s="17" customFormat="1" ht="12.75">
      <c r="B20" s="18"/>
      <c r="C20" s="19" t="s">
        <v>54</v>
      </c>
      <c r="D20" s="34" t="s">
        <v>55</v>
      </c>
      <c r="E20" s="34"/>
      <c r="F20" s="34"/>
      <c r="G20" s="34"/>
      <c r="H20" s="34"/>
      <c r="I20" s="34"/>
      <c r="J20" s="34"/>
      <c r="K20" s="34"/>
      <c r="L20" s="34"/>
      <c r="M20" s="34"/>
      <c r="N20" s="34"/>
    </row>
    <row r="21" spans="2:14" s="17" customFormat="1" ht="12.75">
      <c r="B21" s="18"/>
      <c r="C21" s="19" t="s">
        <v>56</v>
      </c>
      <c r="D21" s="35" t="s">
        <v>57</v>
      </c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2:14">
      <c r="B22" s="20">
        <v>7</v>
      </c>
      <c r="C22" s="21" t="s">
        <v>58</v>
      </c>
      <c r="D22" s="22" t="s">
        <v>59</v>
      </c>
      <c r="E22" s="22" t="s">
        <v>60</v>
      </c>
      <c r="F22" s="23">
        <v>0.01</v>
      </c>
      <c r="G22" s="24">
        <v>1</v>
      </c>
      <c r="H22" s="25">
        <f>F22 * G22 * 7833.7224</f>
        <v>78.337223999999992</v>
      </c>
      <c r="I22" s="25">
        <f>F22 * G22 * 4906.963041</f>
        <v>49.069630410000002</v>
      </c>
      <c r="J22" s="25">
        <f>F22 * G22 * 0</f>
        <v>0</v>
      </c>
      <c r="K22" s="25">
        <f>F22 * G22 * 7457.703725</f>
        <v>74.577037250000004</v>
      </c>
      <c r="L22" s="25">
        <f>F22 * G22 * 2296.221599</f>
        <v>22.962215990000001</v>
      </c>
      <c r="M22" s="25">
        <f>F22 * G22 * 1566.74448</f>
        <v>15.6674448</v>
      </c>
      <c r="N22" s="26">
        <f>SUM(H22:M22)</f>
        <v>240.61355244999999</v>
      </c>
    </row>
    <row r="23" spans="2:14" s="17" customFormat="1" ht="12.75">
      <c r="B23" s="18"/>
      <c r="C23" s="19" t="s">
        <v>61</v>
      </c>
      <c r="D23" s="35" t="s">
        <v>62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</row>
    <row r="24" spans="2:14" ht="38.25">
      <c r="B24" s="20">
        <v>8</v>
      </c>
      <c r="C24" s="21" t="s">
        <v>63</v>
      </c>
      <c r="D24" s="22" t="s">
        <v>64</v>
      </c>
      <c r="E24" s="22" t="s">
        <v>65</v>
      </c>
      <c r="F24" s="23">
        <v>2</v>
      </c>
      <c r="G24" s="24">
        <v>1</v>
      </c>
      <c r="H24" s="25">
        <f>F24 * G24 * 31.45272</f>
        <v>62.905439999999999</v>
      </c>
      <c r="I24" s="25">
        <f>F24 * G24 * 3.168864</f>
        <v>6.3377280000000003</v>
      </c>
      <c r="J24" s="25">
        <f>F24 * G24 * 0</f>
        <v>0</v>
      </c>
      <c r="K24" s="25">
        <f>F24 * G24 * 29.942989</f>
        <v>59.885978000000001</v>
      </c>
      <c r="L24" s="25">
        <f>F24 * G24 * 7.47521499999999</f>
        <v>14.950429999999979</v>
      </c>
      <c r="M24" s="25">
        <f>F24 * G24 * 6.290544</f>
        <v>12.581087999999999</v>
      </c>
      <c r="N24" s="26">
        <f>SUM(H24:M24)</f>
        <v>156.66066399999997</v>
      </c>
    </row>
    <row r="25" spans="2:14" s="17" customFormat="1" ht="12.75">
      <c r="B25" s="18"/>
      <c r="C25" s="19" t="s">
        <v>66</v>
      </c>
      <c r="D25" s="34" t="s">
        <v>67</v>
      </c>
      <c r="E25" s="34"/>
      <c r="F25" s="34"/>
      <c r="G25" s="34"/>
      <c r="H25" s="34"/>
      <c r="I25" s="34"/>
      <c r="J25" s="34"/>
      <c r="K25" s="34"/>
      <c r="L25" s="34"/>
      <c r="M25" s="34"/>
      <c r="N25" s="34"/>
    </row>
    <row r="26" spans="2:14" ht="25.5">
      <c r="B26" s="20">
        <v>9</v>
      </c>
      <c r="C26" s="21" t="s">
        <v>68</v>
      </c>
      <c r="D26" s="22" t="s">
        <v>69</v>
      </c>
      <c r="E26" s="22" t="s">
        <v>24</v>
      </c>
      <c r="F26" s="23">
        <v>0.05</v>
      </c>
      <c r="G26" s="24">
        <v>1</v>
      </c>
      <c r="H26" s="25">
        <f>F26 * G26 * 20853.288</f>
        <v>1042.6644000000001</v>
      </c>
      <c r="I26" s="25">
        <f>F26 * G26 * 14281.888527</f>
        <v>714.09442635000005</v>
      </c>
      <c r="J26" s="25">
        <f>F26 * G26 * 0</f>
        <v>0</v>
      </c>
      <c r="K26" s="25">
        <f>F26 * G26 * 19852.330176</f>
        <v>992.61650880000002</v>
      </c>
      <c r="L26" s="25">
        <f>F26 * G26 * 6241.186334</f>
        <v>312.05931670000001</v>
      </c>
      <c r="M26" s="25">
        <f>F26 * G26 * 4170.6576</f>
        <v>208.53287999999998</v>
      </c>
      <c r="N26" s="26">
        <f>SUM(H26:M26)</f>
        <v>3269.9675318500003</v>
      </c>
    </row>
    <row r="27" spans="2:14">
      <c r="B27" s="20">
        <v>10</v>
      </c>
      <c r="C27" s="21" t="s">
        <v>70</v>
      </c>
      <c r="D27" s="22" t="s">
        <v>71</v>
      </c>
      <c r="E27" s="22" t="s">
        <v>24</v>
      </c>
      <c r="F27" s="23">
        <v>0.01</v>
      </c>
      <c r="G27" s="24">
        <v>1</v>
      </c>
      <c r="H27" s="25">
        <f>F27 * G27 * 108643.056</f>
        <v>1086.43056</v>
      </c>
      <c r="I27" s="25">
        <f>F27 * G27 * 413629.447932</f>
        <v>4136.2944793199995</v>
      </c>
      <c r="J27" s="25">
        <f>F27 * G27 * 0</f>
        <v>0</v>
      </c>
      <c r="K27" s="25">
        <f>F27 * G27 * 103428.189312</f>
        <v>1034.2818931199999</v>
      </c>
      <c r="L27" s="25">
        <f>F27 * G27 * 68303.791619</f>
        <v>683.03791618999992</v>
      </c>
      <c r="M27" s="25">
        <f>F27 * G27 * 21728.6112</f>
        <v>217.286112</v>
      </c>
      <c r="N27" s="26">
        <f>SUM(H27:M27)</f>
        <v>7157.330960629999</v>
      </c>
    </row>
    <row r="28" spans="2:14" s="14" customFormat="1" ht="15">
      <c r="B28" s="15"/>
      <c r="C28" s="16" t="s">
        <v>72</v>
      </c>
      <c r="D28" s="33" t="s">
        <v>73</v>
      </c>
      <c r="E28" s="33"/>
      <c r="F28" s="33"/>
      <c r="G28" s="33"/>
      <c r="H28" s="33"/>
      <c r="I28" s="33"/>
      <c r="J28" s="33"/>
      <c r="K28" s="33"/>
      <c r="L28" s="33"/>
      <c r="M28" s="33"/>
      <c r="N28" s="33"/>
    </row>
    <row r="29" spans="2:14" s="17" customFormat="1" ht="12.75">
      <c r="B29" s="18"/>
      <c r="C29" s="19" t="s">
        <v>74</v>
      </c>
      <c r="D29" s="34" t="s">
        <v>75</v>
      </c>
      <c r="E29" s="34"/>
      <c r="F29" s="34"/>
      <c r="G29" s="34"/>
      <c r="H29" s="34"/>
      <c r="I29" s="34"/>
      <c r="J29" s="34"/>
      <c r="K29" s="34"/>
      <c r="L29" s="34"/>
      <c r="M29" s="34"/>
      <c r="N29" s="34"/>
    </row>
    <row r="30" spans="2:14" s="17" customFormat="1" ht="12.75">
      <c r="B30" s="18"/>
      <c r="C30" s="19" t="s">
        <v>76</v>
      </c>
      <c r="D30" s="35" t="s">
        <v>77</v>
      </c>
      <c r="E30" s="35"/>
      <c r="F30" s="35"/>
      <c r="G30" s="35"/>
      <c r="H30" s="35"/>
      <c r="I30" s="35"/>
      <c r="J30" s="35"/>
      <c r="K30" s="35"/>
      <c r="L30" s="35"/>
      <c r="M30" s="35"/>
      <c r="N30" s="35"/>
    </row>
    <row r="31" spans="2:14" ht="25.5">
      <c r="B31" s="20">
        <v>11</v>
      </c>
      <c r="C31" s="21" t="s">
        <v>78</v>
      </c>
      <c r="D31" s="22" t="s">
        <v>79</v>
      </c>
      <c r="E31" s="22" t="s">
        <v>40</v>
      </c>
      <c r="F31" s="23">
        <v>7.68</v>
      </c>
      <c r="G31" s="24">
        <v>1</v>
      </c>
      <c r="H31" s="25">
        <f>F31 * G31 * 950.793</f>
        <v>7302.0902399999995</v>
      </c>
      <c r="I31" s="25">
        <f>F31 * G31 * 7.170829</f>
        <v>55.071966719999999</v>
      </c>
      <c r="J31" s="25">
        <f>F31 * G31 * 0</f>
        <v>0</v>
      </c>
      <c r="K31" s="25">
        <f>F31 * G31 * 905.154935999999</f>
        <v>6951.5899084799921</v>
      </c>
      <c r="L31" s="25">
        <f>F31 * G31 * 216.620762</f>
        <v>1663.6474521600001</v>
      </c>
      <c r="M31" s="25">
        <f>F31 * G31 * 190.1586</f>
        <v>1460.418048</v>
      </c>
      <c r="N31" s="26">
        <f>SUM(H31:M31)</f>
        <v>17432.817615359992</v>
      </c>
    </row>
    <row r="32" spans="2:14" ht="25.5">
      <c r="B32" s="20">
        <v>12</v>
      </c>
      <c r="C32" s="21" t="s">
        <v>80</v>
      </c>
      <c r="D32" s="22" t="s">
        <v>81</v>
      </c>
      <c r="E32" s="22" t="s">
        <v>40</v>
      </c>
      <c r="F32" s="23">
        <v>7.68</v>
      </c>
      <c r="G32" s="24">
        <v>1</v>
      </c>
      <c r="H32" s="25">
        <f>F32 * G32 * 400.009997</f>
        <v>3072.0767769599997</v>
      </c>
      <c r="I32" s="25">
        <f>F32 * G32 * 0</f>
        <v>0</v>
      </c>
      <c r="J32" s="25">
        <f>F32 * G32 * 68.046825</f>
        <v>522.59961599999997</v>
      </c>
      <c r="K32" s="25">
        <f>F32 * G32 * 380.809517</f>
        <v>2924.6170905600002</v>
      </c>
      <c r="L32" s="25">
        <f>F32 * G32 * 97.99561</f>
        <v>752.60628479999991</v>
      </c>
      <c r="M32" s="25">
        <f>F32 * G32 * 80.001999</f>
        <v>614.41535232000001</v>
      </c>
      <c r="N32" s="26">
        <f>SUM(H32:M32)</f>
        <v>7886.3151206399998</v>
      </c>
    </row>
    <row r="33" spans="2:14" s="17" customFormat="1" ht="12.75">
      <c r="B33" s="18"/>
      <c r="C33" s="19" t="s">
        <v>82</v>
      </c>
      <c r="D33" s="35" t="s">
        <v>83</v>
      </c>
      <c r="E33" s="35"/>
      <c r="F33" s="35"/>
      <c r="G33" s="35"/>
      <c r="H33" s="35"/>
      <c r="I33" s="35"/>
      <c r="J33" s="35"/>
      <c r="K33" s="35"/>
      <c r="L33" s="35"/>
      <c r="M33" s="35"/>
      <c r="N33" s="35"/>
    </row>
    <row r="34" spans="2:14" ht="25.5">
      <c r="B34" s="20">
        <v>13</v>
      </c>
      <c r="C34" s="21" t="s">
        <v>84</v>
      </c>
      <c r="D34" s="22" t="s">
        <v>85</v>
      </c>
      <c r="E34" s="22" t="s">
        <v>86</v>
      </c>
      <c r="F34" s="23">
        <v>23.04</v>
      </c>
      <c r="G34" s="24">
        <v>1</v>
      </c>
      <c r="H34" s="25">
        <f>F34 * G34 * 223.97976</f>
        <v>5160.4936704000002</v>
      </c>
      <c r="I34" s="25">
        <f>F34 * G34 * 0</f>
        <v>0</v>
      </c>
      <c r="J34" s="25">
        <f>F34 * G34 * 0</f>
        <v>0</v>
      </c>
      <c r="K34" s="25">
        <f>F34 * G34 * 213.228732</f>
        <v>4912.7899852800001</v>
      </c>
      <c r="L34" s="25">
        <f>F34 * G34 * 50.8514689999999</f>
        <v>1171.6178457599976</v>
      </c>
      <c r="M34" s="25">
        <f>F34 * G34 * 44.795952</f>
        <v>1032.09873408</v>
      </c>
      <c r="N34" s="26">
        <f>SUM(H34:M34)</f>
        <v>12277.000235519998</v>
      </c>
    </row>
    <row r="35" spans="2:14" s="17" customFormat="1" ht="12.75">
      <c r="B35" s="18"/>
      <c r="C35" s="19" t="s">
        <v>87</v>
      </c>
      <c r="D35" s="35" t="s">
        <v>88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</row>
    <row r="36" spans="2:14" s="17" customFormat="1" ht="12.75">
      <c r="B36" s="18"/>
      <c r="C36" s="19" t="s">
        <v>89</v>
      </c>
      <c r="D36" s="36" t="s">
        <v>90</v>
      </c>
      <c r="E36" s="36"/>
      <c r="F36" s="36"/>
      <c r="G36" s="36"/>
      <c r="H36" s="36"/>
      <c r="I36" s="36"/>
      <c r="J36" s="36"/>
      <c r="K36" s="36"/>
      <c r="L36" s="36"/>
      <c r="M36" s="36"/>
      <c r="N36" s="36"/>
    </row>
    <row r="37" spans="2:14" ht="25.5">
      <c r="B37" s="20">
        <v>14</v>
      </c>
      <c r="C37" s="21" t="s">
        <v>91</v>
      </c>
      <c r="D37" s="22" t="s">
        <v>92</v>
      </c>
      <c r="E37" s="22" t="s">
        <v>93</v>
      </c>
      <c r="F37" s="23">
        <v>0.05</v>
      </c>
      <c r="G37" s="24">
        <v>1</v>
      </c>
      <c r="H37" s="25">
        <f>F37 * G37 * 13548.864</f>
        <v>677.44320000000005</v>
      </c>
      <c r="I37" s="25">
        <f>F37 * G37 * 0</f>
        <v>0</v>
      </c>
      <c r="J37" s="25">
        <f>F37 * G37 * 0</f>
        <v>0</v>
      </c>
      <c r="K37" s="25">
        <f>F37 * G37 * 12898.518528</f>
        <v>644.92592640000009</v>
      </c>
      <c r="L37" s="25">
        <f>F37 * G37 * 3076.079887</f>
        <v>153.80399435000001</v>
      </c>
      <c r="M37" s="25">
        <f>F37 * G37 * 2709.7728</f>
        <v>135.48864</v>
      </c>
      <c r="N37" s="26">
        <f>SUM(H37:M37)</f>
        <v>1611.6617607500002</v>
      </c>
    </row>
    <row r="38" spans="2:14" s="27" customFormat="1" ht="20.100000000000001" customHeight="1">
      <c r="B38" s="37" t="s">
        <v>94</v>
      </c>
      <c r="C38" s="37"/>
      <c r="D38" s="37"/>
      <c r="E38" s="37"/>
      <c r="F38" s="37"/>
      <c r="G38" s="37"/>
      <c r="H38" s="28">
        <f t="shared" ref="H38:N38" si="0">SUM(H4:H37)</f>
        <v>23936.660289359999</v>
      </c>
      <c r="I38" s="28">
        <f t="shared" si="0"/>
        <v>9497.2097093899974</v>
      </c>
      <c r="J38" s="28">
        <f t="shared" si="0"/>
        <v>522.59961599999997</v>
      </c>
      <c r="K38" s="28">
        <f t="shared" si="0"/>
        <v>22787.700604559988</v>
      </c>
      <c r="L38" s="28">
        <f t="shared" si="0"/>
        <v>6491.5734964299963</v>
      </c>
      <c r="M38" s="28">
        <f t="shared" si="0"/>
        <v>4787.3320548000002</v>
      </c>
      <c r="N38" s="29">
        <f t="shared" si="0"/>
        <v>68023.075770539988</v>
      </c>
    </row>
  </sheetData>
  <mergeCells count="24">
    <mergeCell ref="D33:N33"/>
    <mergeCell ref="D35:N35"/>
    <mergeCell ref="D36:N36"/>
    <mergeCell ref="B38:G38"/>
    <mergeCell ref="D23:N23"/>
    <mergeCell ref="D25:N25"/>
    <mergeCell ref="D28:N28"/>
    <mergeCell ref="D29:N29"/>
    <mergeCell ref="D30:N30"/>
    <mergeCell ref="D16:N16"/>
    <mergeCell ref="D17:N17"/>
    <mergeCell ref="D19:N19"/>
    <mergeCell ref="D20:N20"/>
    <mergeCell ref="D21:N21"/>
    <mergeCell ref="D7:N7"/>
    <mergeCell ref="D8:N8"/>
    <mergeCell ref="D10:N10"/>
    <mergeCell ref="D11:N11"/>
    <mergeCell ref="D12:N12"/>
    <mergeCell ref="B2:K3"/>
    <mergeCell ref="L2:M2"/>
    <mergeCell ref="L3:M3"/>
    <mergeCell ref="D4:N4"/>
    <mergeCell ref="D5:N5"/>
  </mergeCells>
  <pageMargins left="0.7" right="0.7" top="0.75" bottom="0.75" header="0.3" footer="0.3"/>
  <pageSetup paperSize="9" scale="61" fitToHeight="0" orientation="landscape" horizontalDpi="4294967295" verticalDpi="4294967295" r:id="rId1"/>
  <headerFooter>
    <oddHeader>&amp;C&amp;KCCCCCC&amp;"Arial"Машинистов 1</oddHeader>
    <oddFooter>Стр.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Машинистов 1</dc:title>
  <dc:creator/>
  <cp:lastModifiedBy/>
  <cp:lastPrinted>2022-03-24T09:55:55Z</cp:lastPrinted>
  <dcterms:created xsi:type="dcterms:W3CDTF">2022-03-24T09:55:55Z</dcterms:created>
  <dcterms:modified xsi:type="dcterms:W3CDTF">2022-03-24T09:57:21Z</dcterms:modified>
</cp:coreProperties>
</file>