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filterPrivacy="1"/>
  <bookViews>
    <workbookView xWindow="1080" yWindow="1380" windowWidth="19095" windowHeight="6510"/>
  </bookViews>
  <sheets>
    <sheet name="Смета" sheetId="1" r:id="rId1"/>
  </sheets>
  <definedNames>
    <definedName name="_xlnm.Print_Titles" localSheetId="0">Смета!$1:$1</definedName>
  </definedNames>
  <calcPr calcId="124519"/>
</workbook>
</file>

<file path=xl/calcChain.xml><?xml version="1.0" encoding="utf-8"?>
<calcChain xmlns="http://schemas.openxmlformats.org/spreadsheetml/2006/main">
  <c r="M43" i="1"/>
  <c r="L43"/>
  <c r="K43"/>
  <c r="J43"/>
  <c r="I43"/>
  <c r="H43"/>
  <c r="N43" s="1"/>
  <c r="M41"/>
  <c r="L41"/>
  <c r="K41"/>
  <c r="J41"/>
  <c r="I41"/>
  <c r="H41"/>
  <c r="N41" s="1"/>
  <c r="M37"/>
  <c r="L37"/>
  <c r="K37"/>
  <c r="J37"/>
  <c r="I37"/>
  <c r="H37"/>
  <c r="N37" s="1"/>
  <c r="M35"/>
  <c r="L35"/>
  <c r="K35"/>
  <c r="J35"/>
  <c r="N35" s="1"/>
  <c r="I35"/>
  <c r="H35"/>
  <c r="M33"/>
  <c r="L33"/>
  <c r="K33"/>
  <c r="J33"/>
  <c r="I33"/>
  <c r="H33"/>
  <c r="N33" s="1"/>
  <c r="M31"/>
  <c r="L31"/>
  <c r="K31"/>
  <c r="J31"/>
  <c r="I31"/>
  <c r="H31"/>
  <c r="N31" s="1"/>
  <c r="M29"/>
  <c r="L29"/>
  <c r="K29"/>
  <c r="J29"/>
  <c r="I29"/>
  <c r="N29" s="1"/>
  <c r="H29"/>
  <c r="M25"/>
  <c r="L25"/>
  <c r="K25"/>
  <c r="J25"/>
  <c r="N25" s="1"/>
  <c r="I25"/>
  <c r="H25"/>
  <c r="M22"/>
  <c r="L22"/>
  <c r="K22"/>
  <c r="J22"/>
  <c r="I22"/>
  <c r="H22"/>
  <c r="N22" s="1"/>
  <c r="M20"/>
  <c r="L20"/>
  <c r="K20"/>
  <c r="J20"/>
  <c r="I20"/>
  <c r="H20"/>
  <c r="N20" s="1"/>
  <c r="M16"/>
  <c r="L16"/>
  <c r="K16"/>
  <c r="J16"/>
  <c r="I16"/>
  <c r="N16" s="1"/>
  <c r="H16"/>
  <c r="M15"/>
  <c r="L15"/>
  <c r="K15"/>
  <c r="J15"/>
  <c r="N15" s="1"/>
  <c r="I15"/>
  <c r="H15"/>
  <c r="M12"/>
  <c r="L12"/>
  <c r="K12"/>
  <c r="J12"/>
  <c r="I12"/>
  <c r="H12"/>
  <c r="N12" s="1"/>
  <c r="M9"/>
  <c r="L9"/>
  <c r="K9"/>
  <c r="J9"/>
  <c r="I9"/>
  <c r="H9"/>
  <c r="N9" s="1"/>
  <c r="M6"/>
  <c r="M44" s="1"/>
  <c r="L6"/>
  <c r="L44" s="1"/>
  <c r="K6"/>
  <c r="K44" s="1"/>
  <c r="J6"/>
  <c r="N6" s="1"/>
  <c r="N44" s="1"/>
  <c r="I6"/>
  <c r="I44" s="1"/>
  <c r="H6"/>
  <c r="H44" s="1"/>
  <c r="J44" l="1"/>
</calcChain>
</file>

<file path=xl/sharedStrings.xml><?xml version="1.0" encoding="utf-8"?>
<sst xmlns="http://schemas.openxmlformats.org/spreadsheetml/2006/main" count="115" uniqueCount="110">
  <si>
    <t/>
  </si>
  <si>
    <t>№ ПП</t>
  </si>
  <si>
    <t>КОД</t>
  </si>
  <si>
    <t>НАЗВАНИЕ РАБОТЫ</t>
  </si>
  <si>
    <t>ИЗМЕРИТЕЛЬ</t>
  </si>
  <si>
    <t>КОЛ-ВО ЕД. ИЗМ.</t>
  </si>
  <si>
    <t>ПЕРИОДИЧ- НОСТЬ В ГОД</t>
  </si>
  <si>
    <t>ТРУД. РЕСУРСЫ, РУБ.</t>
  </si>
  <si>
    <t>МАТЕР. РЕСУРСЫ, РУБ.</t>
  </si>
  <si>
    <t>МАШ. МЕХ., РУБ.</t>
  </si>
  <si>
    <t>НАКЛ. РАСХОДЫ, РУБ.</t>
  </si>
  <si>
    <t>ПРИБЫЛЬ, РУБ.</t>
  </si>
  <si>
    <t>РАСХОДЫ НА УПРАВ., РУБ.</t>
  </si>
  <si>
    <t>СТОИМОСТЬ, РУБ.</t>
  </si>
  <si>
    <t>д.Ульянова 16</t>
  </si>
  <si>
    <t>Дата изменения:</t>
  </si>
  <si>
    <t>22.03.2022</t>
  </si>
  <si>
    <t>Общая площадь, кв.м:</t>
  </si>
  <si>
    <t>1.1</t>
  </si>
  <si>
    <t>Фундаменты</t>
  </si>
  <si>
    <t>1.1.7</t>
  </si>
  <si>
    <t>Восстановление (ремонт)  освещения и  вентиляции  подвала</t>
  </si>
  <si>
    <t>1.1.7.3</t>
  </si>
  <si>
    <t>Замена ламп накаливания</t>
  </si>
  <si>
    <t>100 шт.</t>
  </si>
  <si>
    <t>1.3</t>
  </si>
  <si>
    <t>Деревянные стены</t>
  </si>
  <si>
    <t>1.3.2</t>
  </si>
  <si>
    <t>Обработка  стен от гниения, поражения домовыми грибками,  дереворазрушающими насекомыми</t>
  </si>
  <si>
    <t>1.3.2.3</t>
  </si>
  <si>
    <t>Окраска масляными составами наружных стен с земли и лесов</t>
  </si>
  <si>
    <t>100 м2 обработанной поверхности</t>
  </si>
  <si>
    <t>1.3.12</t>
  </si>
  <si>
    <t>Защита  стальных  элементов от  коррозии</t>
  </si>
  <si>
    <t>1.3.12.1</t>
  </si>
  <si>
    <t>Окраска алюминиевым порошком ранее окрашенных металлических поверхностей</t>
  </si>
  <si>
    <t>1.3.12.1.1</t>
  </si>
  <si>
    <t>Окраска алюминиевым порошком ранее окрашенных металлических поверхностей до 5 кв. м за 1 раз</t>
  </si>
  <si>
    <t>100 м2 окрашенной поверхности</t>
  </si>
  <si>
    <t>1.9</t>
  </si>
  <si>
    <t>Оконные и дверные проемы</t>
  </si>
  <si>
    <t>1.9.1</t>
  </si>
  <si>
    <t>Восстановление (ремонт) дверей в помещениях  общего  пользования</t>
  </si>
  <si>
    <t>1.9.1.3</t>
  </si>
  <si>
    <t>Ремонт дверных полотен со сменой вертикальных брусков обвязки на четыре сопряжения</t>
  </si>
  <si>
    <t>100 брусков</t>
  </si>
  <si>
    <t>1.9.1.22</t>
  </si>
  <si>
    <t>Простая масляная окраска дверей</t>
  </si>
  <si>
    <t>100 кв.м.</t>
  </si>
  <si>
    <t>2.1</t>
  </si>
  <si>
    <t>Система теплоснабжения</t>
  </si>
  <si>
    <t>2.1.2</t>
  </si>
  <si>
    <t>Ремонт,  модернизация внутридомовых отопительных сетей</t>
  </si>
  <si>
    <t>2.1.2.1</t>
  </si>
  <si>
    <t>Смена отдельных участков трубопроводов из стальных водогазопроводных неоцинкованных труб на резьбе</t>
  </si>
  <si>
    <t>2.1.2.1.4</t>
  </si>
  <si>
    <t>Смена отдельных участков трубопроводов из стальных водогазопроводных неоцинкованных труб диаметром 32 мм</t>
  </si>
  <si>
    <t>100 м трубопровода</t>
  </si>
  <si>
    <t>2.1.2.2</t>
  </si>
  <si>
    <t>Смена отдельных участков трубопроводов из стальных электросварных труб</t>
  </si>
  <si>
    <t>2.1.2.2.2</t>
  </si>
  <si>
    <t>Смена отдельных участков трубопроводов из стальных электросварных труб   диаметром 50 мм</t>
  </si>
  <si>
    <t>2.1.8</t>
  </si>
  <si>
    <t>Ремонт  насосов,  магистральной запорной арматуры,  автоматических устройств</t>
  </si>
  <si>
    <t>2.1.8.6</t>
  </si>
  <si>
    <t>Смена кранов двойной регулировки</t>
  </si>
  <si>
    <t>2.1.8.6.1</t>
  </si>
  <si>
    <t>Смена кранов двойной регулировки диаметром прохода 15 мм</t>
  </si>
  <si>
    <t>100 кранов</t>
  </si>
  <si>
    <t>2.2</t>
  </si>
  <si>
    <t>Системы холодного и горячего водоснабжения</t>
  </si>
  <si>
    <t>2.2.1</t>
  </si>
  <si>
    <t>Ремонт,  замена  внутридомовых сетей водоснабжения</t>
  </si>
  <si>
    <t>2.2.1.1</t>
  </si>
  <si>
    <t>Смена отдельных участков трубопроводов  горячего водоснабжения из стальных водогазопроводных оцинкованных труб при соединении труб на резьбе</t>
  </si>
  <si>
    <t>2.2.1.1.3</t>
  </si>
  <si>
    <t>Смена отдельных участков трубопроводов водоснабжения из стальных водогазопроводных оцинкованных труб диаметром  25 мм</t>
  </si>
  <si>
    <t>100 м трубопроводов</t>
  </si>
  <si>
    <t>2.2.1.4</t>
  </si>
  <si>
    <t>Смена трубопроводов из медных труб</t>
  </si>
  <si>
    <t>2.2.1.4.1</t>
  </si>
  <si>
    <t>Смена трубопроводов водоснабжения из медных труб диаметром  15 мм</t>
  </si>
  <si>
    <t>2.2.1.7</t>
  </si>
  <si>
    <t>Смена сгонов у трубопроводов</t>
  </si>
  <si>
    <t>2.2.1.7.1</t>
  </si>
  <si>
    <t>Смена сгонов у трубопроводов диаметром до 20 мм</t>
  </si>
  <si>
    <t>100 сгонов</t>
  </si>
  <si>
    <t>2.2.6</t>
  </si>
  <si>
    <t>Ремонт оборудования, приборов и арматуры водопроводной сети общего пользования</t>
  </si>
  <si>
    <t>2.2.6.1</t>
  </si>
  <si>
    <t>Смена вентилей и клапанов обратных муфтовых диаметром до 20 мм</t>
  </si>
  <si>
    <t>2.3</t>
  </si>
  <si>
    <t>Система водоотведения</t>
  </si>
  <si>
    <t>2.3.4</t>
  </si>
  <si>
    <t>Устранение засоров внутренних канализационных трубопроводов</t>
  </si>
  <si>
    <t>100 м трубы</t>
  </si>
  <si>
    <t>2.6</t>
  </si>
  <si>
    <t>Подготовка многоквартирного дома к сезонной эксплуатации, проведение технических осмотров</t>
  </si>
  <si>
    <t>2.6.14</t>
  </si>
  <si>
    <t>Проведение технических осмотров и устранение незначительных неисправностей в  системе   теплоснабжения</t>
  </si>
  <si>
    <t>2.6.14.3</t>
  </si>
  <si>
    <t>Гидравлическое испытание трубопроводов систем центрального отопления (расконсервация)</t>
  </si>
  <si>
    <t>2.6.14.3.2</t>
  </si>
  <si>
    <t>Рабочая проверка системы в целом при диаметре трубопровода до 50 мм</t>
  </si>
  <si>
    <t>2.6.14.4</t>
  </si>
  <si>
    <t>Промывка трубопроводов системы центрального отопления</t>
  </si>
  <si>
    <t>2.6.14.4.1</t>
  </si>
  <si>
    <t>Промывка трубопроводов системы центрального отопления до 50 мм</t>
  </si>
  <si>
    <t>10 м трубопровода (100 м3 здания)</t>
  </si>
  <si>
    <t>ИТОГО:</t>
  </si>
</sst>
</file>

<file path=xl/styles.xml><?xml version="1.0" encoding="utf-8"?>
<styleSheet xmlns="http://schemas.openxmlformats.org/spreadsheetml/2006/main">
  <numFmts count="1">
    <numFmt numFmtId="164" formatCode="#\ ###\ ##0.00"/>
  </numFmts>
  <fonts count="11">
    <font>
      <sz val="11"/>
      <color theme="1"/>
      <name val="Calibri"/>
      <family val="2"/>
      <scheme val="minor"/>
    </font>
    <font>
      <sz val="9"/>
      <name val="Calibri"/>
      <family val="2"/>
      <charset val="204"/>
    </font>
    <font>
      <sz val="10"/>
      <name val="Calibri"/>
      <family val="2"/>
      <charset val="204"/>
    </font>
    <font>
      <sz val="12"/>
      <name val="Calibri"/>
      <family val="2"/>
      <charset val="204"/>
    </font>
    <font>
      <b/>
      <sz val="9"/>
      <color rgb="FFFFFFFF"/>
      <name val="Calibri"/>
      <family val="2"/>
      <charset val="204"/>
    </font>
    <font>
      <b/>
      <sz val="18"/>
      <color rgb="FF000099"/>
      <name val="Calibri"/>
      <family val="2"/>
      <charset val="204"/>
    </font>
    <font>
      <i/>
      <sz val="11"/>
      <name val="Calibri"/>
      <family val="2"/>
      <charset val="204"/>
    </font>
    <font>
      <b/>
      <sz val="11"/>
      <name val="Calibri"/>
      <family val="2"/>
      <charset val="204"/>
    </font>
    <font>
      <b/>
      <sz val="10"/>
      <color rgb="FF707070"/>
      <name val="Calibri"/>
      <family val="2"/>
      <charset val="204"/>
    </font>
    <font>
      <b/>
      <sz val="11"/>
      <color rgb="FFFFFFFF"/>
      <name val="Calibri"/>
      <family val="2"/>
      <charset val="204"/>
    </font>
    <font>
      <b/>
      <sz val="10"/>
      <color rgb="FFFFFFFF"/>
      <name val="Calibri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rgb="FF546E7A"/>
      </patternFill>
    </fill>
    <fill>
      <patternFill patternType="solid">
        <fgColor rgb="FFDCE6F1"/>
      </patternFill>
    </fill>
    <fill>
      <patternFill patternType="solid">
        <fgColor rgb="FFF2F2F2"/>
      </patternFill>
    </fill>
    <fill>
      <patternFill patternType="solid">
        <fgColor rgb="FFF9F7ED"/>
      </patternFill>
    </fill>
    <fill>
      <patternFill patternType="solid">
        <fgColor rgb="FFF5F2E0"/>
      </patternFill>
    </fill>
    <fill>
      <patternFill patternType="solid">
        <fgColor rgb="FFEBF1DE"/>
      </patternFill>
    </fill>
  </fills>
  <borders count="12">
    <border>
      <left/>
      <right/>
      <top/>
      <bottom/>
      <diagonal/>
    </border>
    <border>
      <left style="thick">
        <color rgb="FF000000"/>
      </left>
      <right style="thin">
        <color rgb="FFFFFFFF"/>
      </right>
      <top style="thick">
        <color rgb="FF000000"/>
      </top>
      <bottom style="thick">
        <color rgb="FF000000"/>
      </bottom>
      <diagonal/>
    </border>
    <border>
      <left style="thin">
        <color rgb="FFFFFFFF"/>
      </left>
      <right style="thin">
        <color rgb="FFFFFFFF"/>
      </right>
      <top style="thick">
        <color rgb="FF000000"/>
      </top>
      <bottom style="thick">
        <color rgb="FF000000"/>
      </bottom>
      <diagonal/>
    </border>
    <border>
      <left style="thin">
        <color rgb="FFFFFFFF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/>
      <top style="thick">
        <color rgb="FF000000"/>
      </top>
      <bottom style="thick">
        <color rgb="FF000000"/>
      </bottom>
      <diagonal/>
    </border>
    <border>
      <left/>
      <right/>
      <top style="thick">
        <color rgb="FF000000"/>
      </top>
      <bottom/>
      <diagonal/>
    </border>
    <border>
      <left/>
      <right style="thick">
        <color rgb="FF000000"/>
      </right>
      <top style="thick">
        <color rgb="FF000000"/>
      </top>
      <bottom/>
      <diagonal/>
    </border>
    <border>
      <left/>
      <right/>
      <top/>
      <bottom style="thick">
        <color rgb="FF000000"/>
      </bottom>
      <diagonal/>
    </border>
    <border>
      <left/>
      <right style="thick">
        <color rgb="FF000000"/>
      </right>
      <top/>
      <bottom style="thick">
        <color rgb="FF000000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0" xfId="0" applyFont="1" applyAlignment="1">
      <alignment horizontal="center" vertical="top" wrapText="1" indent="1"/>
    </xf>
    <xf numFmtId="49" fontId="2" fillId="0" borderId="0" xfId="0" applyNumberFormat="1" applyFont="1" applyAlignment="1">
      <alignment horizontal="left" vertical="top" wrapText="1" indent="1"/>
    </xf>
    <xf numFmtId="0" fontId="2" fillId="0" borderId="0" xfId="0" applyFont="1" applyAlignment="1">
      <alignment horizontal="left" vertical="top" wrapText="1"/>
    </xf>
    <xf numFmtId="0" fontId="3" fillId="0" borderId="0" xfId="0" applyFont="1" applyAlignment="1">
      <alignment horizontal="right" vertical="top" indent="1"/>
    </xf>
    <xf numFmtId="164" fontId="2" fillId="0" borderId="0" xfId="0" applyNumberFormat="1" applyFont="1" applyAlignment="1">
      <alignment horizontal="right" vertical="top" indent="1"/>
    </xf>
    <xf numFmtId="0" fontId="4" fillId="0" borderId="0" xfId="0" applyFont="1" applyAlignment="1">
      <alignment horizontal="center" vertical="center" wrapText="1" indent="1"/>
    </xf>
    <xf numFmtId="0" fontId="4" fillId="2" borderId="1" xfId="0" applyFont="1" applyFill="1" applyBorder="1" applyAlignment="1">
      <alignment horizontal="center" vertical="center" wrapText="1" indent="1"/>
    </xf>
    <xf numFmtId="49" fontId="4" fillId="2" borderId="2" xfId="0" applyNumberFormat="1" applyFont="1" applyFill="1" applyBorder="1" applyAlignment="1">
      <alignment horizontal="center" vertical="center" wrapText="1" indent="1"/>
    </xf>
    <xf numFmtId="0" fontId="4" fillId="2" borderId="2" xfId="0" applyFont="1" applyFill="1" applyBorder="1" applyAlignment="1">
      <alignment horizontal="center" vertical="center" wrapText="1" indent="1"/>
    </xf>
    <xf numFmtId="164" fontId="4" fillId="2" borderId="2" xfId="0" applyNumberFormat="1" applyFont="1" applyFill="1" applyBorder="1" applyAlignment="1">
      <alignment horizontal="center" vertical="center" wrapText="1" indent="1"/>
    </xf>
    <xf numFmtId="164" fontId="4" fillId="2" borderId="3" xfId="0" applyNumberFormat="1" applyFont="1" applyFill="1" applyBorder="1" applyAlignment="1">
      <alignment horizontal="center" vertical="center" wrapText="1" indent="1"/>
    </xf>
    <xf numFmtId="0" fontId="6" fillId="0" borderId="6" xfId="0" applyFont="1" applyBorder="1" applyAlignment="1">
      <alignment horizontal="left" indent="1"/>
    </xf>
    <xf numFmtId="164" fontId="6" fillId="0" borderId="8" xfId="0" applyNumberFormat="1" applyFont="1" applyBorder="1" applyAlignment="1">
      <alignment horizontal="left" indent="1"/>
    </xf>
    <xf numFmtId="0" fontId="7" fillId="0" borderId="0" xfId="0" applyFont="1"/>
    <xf numFmtId="0" fontId="7" fillId="3" borderId="9" xfId="0" applyFont="1" applyFill="1" applyBorder="1" applyAlignment="1">
      <alignment horizontal="center" vertical="top" wrapText="1" indent="1"/>
    </xf>
    <xf numFmtId="49" fontId="7" fillId="3" borderId="10" xfId="0" applyNumberFormat="1" applyFont="1" applyFill="1" applyBorder="1" applyAlignment="1">
      <alignment horizontal="left" vertical="top" wrapText="1" indent="1"/>
    </xf>
    <xf numFmtId="0" fontId="8" fillId="0" borderId="0" xfId="0" applyFont="1"/>
    <xf numFmtId="0" fontId="8" fillId="4" borderId="9" xfId="0" applyFont="1" applyFill="1" applyBorder="1" applyAlignment="1">
      <alignment horizontal="center" vertical="top" wrapText="1" indent="1"/>
    </xf>
    <xf numFmtId="49" fontId="8" fillId="4" borderId="10" xfId="0" applyNumberFormat="1" applyFont="1" applyFill="1" applyBorder="1" applyAlignment="1">
      <alignment horizontal="left" vertical="top" wrapText="1" indent="1"/>
    </xf>
    <xf numFmtId="0" fontId="1" fillId="0" borderId="9" xfId="0" applyFont="1" applyBorder="1" applyAlignment="1">
      <alignment horizontal="center" vertical="top" wrapText="1" indent="1"/>
    </xf>
    <xf numFmtId="49" fontId="2" fillId="0" borderId="10" xfId="0" applyNumberFormat="1" applyFont="1" applyBorder="1" applyAlignment="1">
      <alignment horizontal="left" vertical="top" wrapText="1" indent="1"/>
    </xf>
    <xf numFmtId="0" fontId="2" fillId="0" borderId="10" xfId="0" applyFont="1" applyBorder="1" applyAlignment="1">
      <alignment horizontal="left" vertical="top" wrapText="1"/>
    </xf>
    <xf numFmtId="0" fontId="3" fillId="5" borderId="10" xfId="0" applyFont="1" applyFill="1" applyBorder="1" applyAlignment="1">
      <alignment horizontal="right" vertical="top" indent="1"/>
    </xf>
    <xf numFmtId="0" fontId="3" fillId="6" borderId="10" xfId="0" applyFont="1" applyFill="1" applyBorder="1" applyAlignment="1">
      <alignment horizontal="right" vertical="top" indent="1"/>
    </xf>
    <xf numFmtId="164" fontId="2" fillId="0" borderId="10" xfId="0" applyNumberFormat="1" applyFont="1" applyBorder="1" applyAlignment="1">
      <alignment horizontal="right" vertical="top" indent="1"/>
    </xf>
    <xf numFmtId="164" fontId="2" fillId="7" borderId="11" xfId="0" applyNumberFormat="1" applyFont="1" applyFill="1" applyBorder="1" applyAlignment="1">
      <alignment horizontal="right" vertical="top" indent="1"/>
    </xf>
    <xf numFmtId="0" fontId="9" fillId="0" borderId="0" xfId="0" applyFont="1" applyAlignment="1">
      <alignment horizontal="right" vertical="center" wrapText="1" indent="1"/>
    </xf>
    <xf numFmtId="164" fontId="9" fillId="2" borderId="2" xfId="0" applyNumberFormat="1" applyFont="1" applyFill="1" applyBorder="1" applyAlignment="1">
      <alignment horizontal="right" vertical="center" wrapText="1" indent="1"/>
    </xf>
    <xf numFmtId="164" fontId="9" fillId="2" borderId="3" xfId="0" applyNumberFormat="1" applyFont="1" applyFill="1" applyBorder="1" applyAlignment="1">
      <alignment horizontal="right" vertical="center" wrapText="1" indent="1"/>
    </xf>
    <xf numFmtId="0" fontId="5" fillId="0" borderId="4" xfId="0" applyFont="1" applyBorder="1" applyAlignment="1">
      <alignment horizontal="left" vertical="center" indent="1"/>
    </xf>
    <xf numFmtId="164" fontId="6" fillId="0" borderId="5" xfId="0" applyNumberFormat="1" applyFont="1" applyBorder="1" applyAlignment="1">
      <alignment horizontal="right" indent="1"/>
    </xf>
    <xf numFmtId="164" fontId="6" fillId="0" borderId="7" xfId="0" applyNumberFormat="1" applyFont="1" applyBorder="1" applyAlignment="1">
      <alignment horizontal="right" indent="1"/>
    </xf>
    <xf numFmtId="0" fontId="7" fillId="3" borderId="11" xfId="0" applyFont="1" applyFill="1" applyBorder="1" applyAlignment="1">
      <alignment horizontal="left" vertical="top" wrapText="1"/>
    </xf>
    <xf numFmtId="0" fontId="8" fillId="4" borderId="11" xfId="0" applyFont="1" applyFill="1" applyBorder="1" applyAlignment="1">
      <alignment indent="1"/>
    </xf>
    <xf numFmtId="0" fontId="8" fillId="4" borderId="11" xfId="0" applyFont="1" applyFill="1" applyBorder="1" applyAlignment="1">
      <alignment indent="2"/>
    </xf>
    <xf numFmtId="0" fontId="10" fillId="2" borderId="1" xfId="0" applyFont="1" applyFill="1" applyBorder="1" applyAlignment="1">
      <alignment horizontal="right" vertical="center" wrapText="1" inden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44"/>
  <sheetViews>
    <sheetView tabSelected="1" workbookViewId="0">
      <pane ySplit="1" topLeftCell="A2" activePane="bottomLeft" state="frozen"/>
      <selection pane="bottomLeft" activeCell="D21" sqref="D21:N21"/>
    </sheetView>
  </sheetViews>
  <sheetFormatPr defaultRowHeight="15.75"/>
  <cols>
    <col min="1" max="1" width="3" customWidth="1"/>
    <col min="2" max="2" width="6" style="1" customWidth="1"/>
    <col min="3" max="3" width="13" style="2" customWidth="1"/>
    <col min="4" max="4" width="50" style="3" customWidth="1"/>
    <col min="5" max="5" width="20" style="3" customWidth="1"/>
    <col min="6" max="7" width="12" style="4" customWidth="1"/>
    <col min="8" max="9" width="14" style="5" customWidth="1"/>
    <col min="10" max="10" width="13" style="5" customWidth="1"/>
    <col min="11" max="13" width="14" style="5" customWidth="1"/>
    <col min="14" max="14" width="16" style="5" customWidth="1"/>
  </cols>
  <sheetData>
    <row r="1" spans="1:14" s="6" customFormat="1" ht="39.950000000000003" customHeight="1">
      <c r="A1" s="6" t="s">
        <v>0</v>
      </c>
      <c r="B1" s="7" t="s">
        <v>1</v>
      </c>
      <c r="C1" s="8" t="s">
        <v>2</v>
      </c>
      <c r="D1" s="9" t="s">
        <v>3</v>
      </c>
      <c r="E1" s="9" t="s">
        <v>4</v>
      </c>
      <c r="F1" s="9" t="s">
        <v>5</v>
      </c>
      <c r="G1" s="9" t="s">
        <v>6</v>
      </c>
      <c r="H1" s="10" t="s">
        <v>7</v>
      </c>
      <c r="I1" s="10" t="s">
        <v>8</v>
      </c>
      <c r="J1" s="10" t="s">
        <v>9</v>
      </c>
      <c r="K1" s="10" t="s">
        <v>10</v>
      </c>
      <c r="L1" s="10" t="s">
        <v>11</v>
      </c>
      <c r="M1" s="10" t="s">
        <v>12</v>
      </c>
      <c r="N1" s="11" t="s">
        <v>13</v>
      </c>
    </row>
    <row r="2" spans="1:14" ht="15">
      <c r="A2" t="s">
        <v>0</v>
      </c>
      <c r="B2" s="30" t="s">
        <v>14</v>
      </c>
      <c r="C2" s="30"/>
      <c r="D2" s="30"/>
      <c r="E2" s="30"/>
      <c r="F2" s="30"/>
      <c r="G2" s="30"/>
      <c r="H2" s="30"/>
      <c r="I2" s="30"/>
      <c r="J2" s="30"/>
      <c r="K2" s="30"/>
      <c r="L2" s="31" t="s">
        <v>15</v>
      </c>
      <c r="M2" s="31"/>
      <c r="N2" s="12" t="s">
        <v>16</v>
      </c>
    </row>
    <row r="3" spans="1:14" ht="15">
      <c r="B3" s="30"/>
      <c r="C3" s="30"/>
      <c r="D3" s="30"/>
      <c r="E3" s="30"/>
      <c r="F3" s="30"/>
      <c r="G3" s="30"/>
      <c r="H3" s="30"/>
      <c r="I3" s="30"/>
      <c r="J3" s="30"/>
      <c r="K3" s="30"/>
      <c r="L3" s="32" t="s">
        <v>17</v>
      </c>
      <c r="M3" s="32"/>
      <c r="N3" s="13">
        <v>0</v>
      </c>
    </row>
    <row r="4" spans="1:14" s="14" customFormat="1" ht="15">
      <c r="B4" s="15"/>
      <c r="C4" s="16" t="s">
        <v>18</v>
      </c>
      <c r="D4" s="33" t="s">
        <v>19</v>
      </c>
      <c r="E4" s="33"/>
      <c r="F4" s="33"/>
      <c r="G4" s="33"/>
      <c r="H4" s="33"/>
      <c r="I4" s="33"/>
      <c r="J4" s="33"/>
      <c r="K4" s="33"/>
      <c r="L4" s="33"/>
      <c r="M4" s="33"/>
      <c r="N4" s="33"/>
    </row>
    <row r="5" spans="1:14" s="17" customFormat="1" ht="12.75">
      <c r="B5" s="18"/>
      <c r="C5" s="19" t="s">
        <v>20</v>
      </c>
      <c r="D5" s="34" t="s">
        <v>21</v>
      </c>
      <c r="E5" s="34"/>
      <c r="F5" s="34"/>
      <c r="G5" s="34"/>
      <c r="H5" s="34"/>
      <c r="I5" s="34"/>
      <c r="J5" s="34"/>
      <c r="K5" s="34"/>
      <c r="L5" s="34"/>
      <c r="M5" s="34"/>
      <c r="N5" s="34"/>
    </row>
    <row r="6" spans="1:14">
      <c r="B6" s="20">
        <v>1</v>
      </c>
      <c r="C6" s="21" t="s">
        <v>22</v>
      </c>
      <c r="D6" s="22" t="s">
        <v>23</v>
      </c>
      <c r="E6" s="22" t="s">
        <v>24</v>
      </c>
      <c r="F6" s="23">
        <v>7.0000000000000007E-2</v>
      </c>
      <c r="G6" s="24">
        <v>1</v>
      </c>
      <c r="H6" s="25">
        <f>F6 * G6 * 1717.8024</f>
        <v>120.24616800000001</v>
      </c>
      <c r="I6" s="25">
        <f>F6 * G6 * 2684.13</f>
        <v>187.88910000000001</v>
      </c>
      <c r="J6" s="25">
        <f>F6 * G6 * 0</f>
        <v>0</v>
      </c>
      <c r="K6" s="25">
        <f>F6 * G6 * 1635.347885</f>
        <v>114.47435195</v>
      </c>
      <c r="L6" s="25">
        <f>F6 * G6 * 673.178701</f>
        <v>47.122509070000007</v>
      </c>
      <c r="M6" s="25">
        <f>F6 * G6 * 343.56048</f>
        <v>24.049233600000001</v>
      </c>
      <c r="N6" s="26">
        <f>SUM(H6:M6)</f>
        <v>493.78136261999998</v>
      </c>
    </row>
    <row r="7" spans="1:14" s="14" customFormat="1" ht="15">
      <c r="B7" s="15"/>
      <c r="C7" s="16" t="s">
        <v>25</v>
      </c>
      <c r="D7" s="33" t="s">
        <v>26</v>
      </c>
      <c r="E7" s="33"/>
      <c r="F7" s="33"/>
      <c r="G7" s="33"/>
      <c r="H7" s="33"/>
      <c r="I7" s="33"/>
      <c r="J7" s="33"/>
      <c r="K7" s="33"/>
      <c r="L7" s="33"/>
      <c r="M7" s="33"/>
      <c r="N7" s="33"/>
    </row>
    <row r="8" spans="1:14" s="17" customFormat="1" ht="12.75">
      <c r="B8" s="18"/>
      <c r="C8" s="19" t="s">
        <v>27</v>
      </c>
      <c r="D8" s="34" t="s">
        <v>28</v>
      </c>
      <c r="E8" s="34"/>
      <c r="F8" s="34"/>
      <c r="G8" s="34"/>
      <c r="H8" s="34"/>
      <c r="I8" s="34"/>
      <c r="J8" s="34"/>
      <c r="K8" s="34"/>
      <c r="L8" s="34"/>
      <c r="M8" s="34"/>
      <c r="N8" s="34"/>
    </row>
    <row r="9" spans="1:14" ht="25.5">
      <c r="B9" s="20">
        <v>2</v>
      </c>
      <c r="C9" s="21" t="s">
        <v>29</v>
      </c>
      <c r="D9" s="22" t="s">
        <v>30</v>
      </c>
      <c r="E9" s="22" t="s">
        <v>31</v>
      </c>
      <c r="F9" s="23">
        <v>0.08</v>
      </c>
      <c r="G9" s="24">
        <v>1</v>
      </c>
      <c r="H9" s="25">
        <f>F9 * G9 * 5188.8</f>
        <v>415.10400000000004</v>
      </c>
      <c r="I9" s="25">
        <f>F9 * G9 * 4535.229593</f>
        <v>362.81836744000003</v>
      </c>
      <c r="J9" s="25">
        <f>F9 * G9 * 1033.978561</f>
        <v>82.718284879999999</v>
      </c>
      <c r="K9" s="25">
        <f>F9 * G9 * 5308.96353099999</f>
        <v>424.71708247999925</v>
      </c>
      <c r="L9" s="25">
        <f>F9 * G9 * 1812.732667</f>
        <v>145.01861335999999</v>
      </c>
      <c r="M9" s="25">
        <f>F9 * G9 * 1115.328473</f>
        <v>89.226277840000009</v>
      </c>
      <c r="N9" s="26">
        <f>SUM(H9:M9)</f>
        <v>1519.6026259999994</v>
      </c>
    </row>
    <row r="10" spans="1:14" s="17" customFormat="1" ht="12.75">
      <c r="B10" s="18"/>
      <c r="C10" s="19" t="s">
        <v>32</v>
      </c>
      <c r="D10" s="34" t="s">
        <v>33</v>
      </c>
      <c r="E10" s="34"/>
      <c r="F10" s="34"/>
      <c r="G10" s="34"/>
      <c r="H10" s="34"/>
      <c r="I10" s="34"/>
      <c r="J10" s="34"/>
      <c r="K10" s="34"/>
      <c r="L10" s="34"/>
      <c r="M10" s="34"/>
      <c r="N10" s="34"/>
    </row>
    <row r="11" spans="1:14" s="17" customFormat="1" ht="12.75">
      <c r="B11" s="18"/>
      <c r="C11" s="19" t="s">
        <v>34</v>
      </c>
      <c r="D11" s="35" t="s">
        <v>35</v>
      </c>
      <c r="E11" s="35"/>
      <c r="F11" s="35"/>
      <c r="G11" s="35"/>
      <c r="H11" s="35"/>
      <c r="I11" s="35"/>
      <c r="J11" s="35"/>
      <c r="K11" s="35"/>
      <c r="L11" s="35"/>
      <c r="M11" s="35"/>
      <c r="N11" s="35"/>
    </row>
    <row r="12" spans="1:14" ht="25.5">
      <c r="B12" s="20">
        <v>3</v>
      </c>
      <c r="C12" s="21" t="s">
        <v>36</v>
      </c>
      <c r="D12" s="22" t="s">
        <v>37</v>
      </c>
      <c r="E12" s="22" t="s">
        <v>38</v>
      </c>
      <c r="F12" s="23">
        <v>0.1</v>
      </c>
      <c r="G12" s="24">
        <v>1</v>
      </c>
      <c r="H12" s="25">
        <f>F12 * G12 * 7120.8</f>
        <v>712.08</v>
      </c>
      <c r="I12" s="25">
        <f>F12 * G12 * 907.885393</f>
        <v>90.788539300000011</v>
      </c>
      <c r="J12" s="25">
        <f>F12 * G12 * 0</f>
        <v>0</v>
      </c>
      <c r="K12" s="25">
        <f>F12 * G12 * 6779.0016</f>
        <v>677.90016000000003</v>
      </c>
      <c r="L12" s="25">
        <f>F12 * G12 * 1712.459858</f>
        <v>171.2459858</v>
      </c>
      <c r="M12" s="25">
        <f>F12 * G12 * 1424.16</f>
        <v>142.41600000000003</v>
      </c>
      <c r="N12" s="26">
        <f>SUM(H12:M12)</f>
        <v>1794.4306851000001</v>
      </c>
    </row>
    <row r="13" spans="1:14" s="14" customFormat="1" ht="15">
      <c r="B13" s="15"/>
      <c r="C13" s="16" t="s">
        <v>39</v>
      </c>
      <c r="D13" s="33" t="s">
        <v>40</v>
      </c>
      <c r="E13" s="33"/>
      <c r="F13" s="33"/>
      <c r="G13" s="33"/>
      <c r="H13" s="33"/>
      <c r="I13" s="33"/>
      <c r="J13" s="33"/>
      <c r="K13" s="33"/>
      <c r="L13" s="33"/>
      <c r="M13" s="33"/>
      <c r="N13" s="33"/>
    </row>
    <row r="14" spans="1:14" s="17" customFormat="1" ht="12.75">
      <c r="B14" s="18"/>
      <c r="C14" s="19" t="s">
        <v>41</v>
      </c>
      <c r="D14" s="34" t="s">
        <v>42</v>
      </c>
      <c r="E14" s="34"/>
      <c r="F14" s="34"/>
      <c r="G14" s="34"/>
      <c r="H14" s="34"/>
      <c r="I14" s="34"/>
      <c r="J14" s="34"/>
      <c r="K14" s="34"/>
      <c r="L14" s="34"/>
      <c r="M14" s="34"/>
      <c r="N14" s="34"/>
    </row>
    <row r="15" spans="1:14" ht="25.5">
      <c r="B15" s="20">
        <v>4</v>
      </c>
      <c r="C15" s="21" t="s">
        <v>43</v>
      </c>
      <c r="D15" s="22" t="s">
        <v>44</v>
      </c>
      <c r="E15" s="22" t="s">
        <v>45</v>
      </c>
      <c r="F15" s="23">
        <v>0.01</v>
      </c>
      <c r="G15" s="24">
        <v>1</v>
      </c>
      <c r="H15" s="25">
        <f>F15 * G15 * 124078.52016</f>
        <v>1240.7852015999999</v>
      </c>
      <c r="I15" s="25">
        <f>F15 * G15 * 7198.85196</f>
        <v>71.988519600000004</v>
      </c>
      <c r="J15" s="25">
        <f>F15 * G15 * 14.93646</f>
        <v>0.14936460000000001</v>
      </c>
      <c r="K15" s="25">
        <f>F15 * G15 * 118122.751192</f>
        <v>1181.2275119200001</v>
      </c>
      <c r="L15" s="25">
        <f>F15 * G15 * 28931.3455809999</f>
        <v>289.31345580999903</v>
      </c>
      <c r="M15" s="25">
        <f>F15 * G15 * 24815.704032</f>
        <v>248.15704032000002</v>
      </c>
      <c r="N15" s="26">
        <f>SUM(H15:M15)</f>
        <v>3031.6210938499989</v>
      </c>
    </row>
    <row r="16" spans="1:14">
      <c r="B16" s="20">
        <v>5</v>
      </c>
      <c r="C16" s="21" t="s">
        <v>46</v>
      </c>
      <c r="D16" s="22" t="s">
        <v>47</v>
      </c>
      <c r="E16" s="22" t="s">
        <v>48</v>
      </c>
      <c r="F16" s="23">
        <v>0.12</v>
      </c>
      <c r="G16" s="24">
        <v>1</v>
      </c>
      <c r="H16" s="25">
        <f>F16 * G16 * 7314</f>
        <v>877.68</v>
      </c>
      <c r="I16" s="25">
        <f>F16 * G16 * 2986.115776</f>
        <v>358.33389311999997</v>
      </c>
      <c r="J16" s="25">
        <f>F16 * G16 * 0</f>
        <v>0</v>
      </c>
      <c r="K16" s="25">
        <f>F16 * G16 * 6962.928</f>
        <v>835.55135999999993</v>
      </c>
      <c r="L16" s="25">
        <f>F16 * G16 * 1975.57651799999</f>
        <v>237.0691821599988</v>
      </c>
      <c r="M16" s="25">
        <f>F16 * G16 * 1462.8</f>
        <v>175.536</v>
      </c>
      <c r="N16" s="26">
        <f>SUM(H16:M16)</f>
        <v>2484.1704352799989</v>
      </c>
    </row>
    <row r="17" spans="2:14" s="14" customFormat="1" ht="15">
      <c r="B17" s="15"/>
      <c r="C17" s="16" t="s">
        <v>49</v>
      </c>
      <c r="D17" s="33" t="s">
        <v>50</v>
      </c>
      <c r="E17" s="33"/>
      <c r="F17" s="33"/>
      <c r="G17" s="33"/>
      <c r="H17" s="33"/>
      <c r="I17" s="33"/>
      <c r="J17" s="33"/>
      <c r="K17" s="33"/>
      <c r="L17" s="33"/>
      <c r="M17" s="33"/>
      <c r="N17" s="33"/>
    </row>
    <row r="18" spans="2:14" s="17" customFormat="1" ht="12.75">
      <c r="B18" s="18"/>
      <c r="C18" s="19" t="s">
        <v>51</v>
      </c>
      <c r="D18" s="34" t="s">
        <v>52</v>
      </c>
      <c r="E18" s="34"/>
      <c r="F18" s="34"/>
      <c r="G18" s="34"/>
      <c r="H18" s="34"/>
      <c r="I18" s="34"/>
      <c r="J18" s="34"/>
      <c r="K18" s="34"/>
      <c r="L18" s="34"/>
      <c r="M18" s="34"/>
      <c r="N18" s="34"/>
    </row>
    <row r="19" spans="2:14" s="17" customFormat="1" ht="12.75">
      <c r="B19" s="18"/>
      <c r="C19" s="19" t="s">
        <v>53</v>
      </c>
      <c r="D19" s="35" t="s">
        <v>54</v>
      </c>
      <c r="E19" s="35"/>
      <c r="F19" s="35"/>
      <c r="G19" s="35"/>
      <c r="H19" s="35"/>
      <c r="I19" s="35"/>
      <c r="J19" s="35"/>
      <c r="K19" s="35"/>
      <c r="L19" s="35"/>
      <c r="M19" s="35"/>
      <c r="N19" s="35"/>
    </row>
    <row r="20" spans="2:14" ht="38.25">
      <c r="B20" s="20">
        <v>6</v>
      </c>
      <c r="C20" s="21" t="s">
        <v>55</v>
      </c>
      <c r="D20" s="22" t="s">
        <v>56</v>
      </c>
      <c r="E20" s="22" t="s">
        <v>57</v>
      </c>
      <c r="F20" s="23">
        <v>0.02</v>
      </c>
      <c r="G20" s="24">
        <v>1</v>
      </c>
      <c r="H20" s="25">
        <f>F20 * G20 * 22490.286</f>
        <v>449.80572000000001</v>
      </c>
      <c r="I20" s="25">
        <f>F20 * G20 * 25106.015612</f>
        <v>502.12031223999998</v>
      </c>
      <c r="J20" s="25">
        <f>F20 * G20 * 0</f>
        <v>0</v>
      </c>
      <c r="K20" s="25">
        <f>F20 * G20 * 21410.752272</f>
        <v>428.21504544000004</v>
      </c>
      <c r="L20" s="25">
        <f>F20 * G20 * 7754.789219</f>
        <v>155.09578438</v>
      </c>
      <c r="M20" s="25">
        <f>F20 * G20 * 4498.0572</f>
        <v>89.961144000000004</v>
      </c>
      <c r="N20" s="26">
        <f>SUM(H20:M20)</f>
        <v>1625.1980060600001</v>
      </c>
    </row>
    <row r="21" spans="2:14" s="17" customFormat="1" ht="12.75">
      <c r="B21" s="18"/>
      <c r="C21" s="19" t="s">
        <v>58</v>
      </c>
      <c r="D21" s="35" t="s">
        <v>59</v>
      </c>
      <c r="E21" s="35"/>
      <c r="F21" s="35"/>
      <c r="G21" s="35"/>
      <c r="H21" s="35"/>
      <c r="I21" s="35"/>
      <c r="J21" s="35"/>
      <c r="K21" s="35"/>
      <c r="L21" s="35"/>
      <c r="M21" s="35"/>
      <c r="N21" s="35"/>
    </row>
    <row r="22" spans="2:14" ht="25.5">
      <c r="B22" s="20">
        <v>7</v>
      </c>
      <c r="C22" s="21" t="s">
        <v>60</v>
      </c>
      <c r="D22" s="22" t="s">
        <v>61</v>
      </c>
      <c r="E22" s="22" t="s">
        <v>57</v>
      </c>
      <c r="F22" s="23">
        <v>0.13</v>
      </c>
      <c r="G22" s="24">
        <v>1</v>
      </c>
      <c r="H22" s="25">
        <f>F22 * G22 * 17300.22</f>
        <v>2249.0286000000001</v>
      </c>
      <c r="I22" s="25">
        <f>F22 * G22 * 43106.0525009999</f>
        <v>5603.7868251299997</v>
      </c>
      <c r="J22" s="25">
        <f>F22 * G22 * 0</f>
        <v>0</v>
      </c>
      <c r="K22" s="25">
        <f>F22 * G22 * 16469.80944</f>
        <v>2141.0752272</v>
      </c>
      <c r="L22" s="25">
        <f>F22 * G22 * 8475.461287</f>
        <v>1101.80996731</v>
      </c>
      <c r="M22" s="25">
        <f>F22 * G22 * 3460.044</f>
        <v>449.80572000000001</v>
      </c>
      <c r="N22" s="26">
        <f>SUM(H22:M22)</f>
        <v>11545.50633964</v>
      </c>
    </row>
    <row r="23" spans="2:14" s="17" customFormat="1" ht="12.75">
      <c r="B23" s="18"/>
      <c r="C23" s="19" t="s">
        <v>62</v>
      </c>
      <c r="D23" s="34" t="s">
        <v>63</v>
      </c>
      <c r="E23" s="34"/>
      <c r="F23" s="34"/>
      <c r="G23" s="34"/>
      <c r="H23" s="34"/>
      <c r="I23" s="34"/>
      <c r="J23" s="34"/>
      <c r="K23" s="34"/>
      <c r="L23" s="34"/>
      <c r="M23" s="34"/>
      <c r="N23" s="34"/>
    </row>
    <row r="24" spans="2:14" s="17" customFormat="1" ht="12.75">
      <c r="B24" s="18"/>
      <c r="C24" s="19" t="s">
        <v>64</v>
      </c>
      <c r="D24" s="35" t="s">
        <v>65</v>
      </c>
      <c r="E24" s="35"/>
      <c r="F24" s="35"/>
      <c r="G24" s="35"/>
      <c r="H24" s="35"/>
      <c r="I24" s="35"/>
      <c r="J24" s="35"/>
      <c r="K24" s="35"/>
      <c r="L24" s="35"/>
      <c r="M24" s="35"/>
      <c r="N24" s="35"/>
    </row>
    <row r="25" spans="2:14" ht="25.5">
      <c r="B25" s="20">
        <v>8</v>
      </c>
      <c r="C25" s="21" t="s">
        <v>66</v>
      </c>
      <c r="D25" s="22" t="s">
        <v>67</v>
      </c>
      <c r="E25" s="22" t="s">
        <v>68</v>
      </c>
      <c r="F25" s="23">
        <v>0.04</v>
      </c>
      <c r="G25" s="24">
        <v>1</v>
      </c>
      <c r="H25" s="25">
        <f>F25 * G25 * 18288.804</f>
        <v>731.55216000000007</v>
      </c>
      <c r="I25" s="25">
        <f>F25 * G25 * 19044.08637</f>
        <v>761.76345480000009</v>
      </c>
      <c r="J25" s="25">
        <f>F25 * G25 * 0</f>
        <v>0</v>
      </c>
      <c r="K25" s="25">
        <f>F25 * G25 * 17410.941408</f>
        <v>696.43765631999997</v>
      </c>
      <c r="L25" s="25">
        <f>F25 * G25 * 6161.368017</f>
        <v>246.45472068000001</v>
      </c>
      <c r="M25" s="25">
        <f>F25 * G25 * 3657.7608</f>
        <v>146.31043199999999</v>
      </c>
      <c r="N25" s="26">
        <f>SUM(H25:M25)</f>
        <v>2582.5184238000002</v>
      </c>
    </row>
    <row r="26" spans="2:14" s="14" customFormat="1" ht="15">
      <c r="B26" s="15"/>
      <c r="C26" s="16" t="s">
        <v>69</v>
      </c>
      <c r="D26" s="33" t="s">
        <v>70</v>
      </c>
      <c r="E26" s="33"/>
      <c r="F26" s="33"/>
      <c r="G26" s="33"/>
      <c r="H26" s="33"/>
      <c r="I26" s="33"/>
      <c r="J26" s="33"/>
      <c r="K26" s="33"/>
      <c r="L26" s="33"/>
      <c r="M26" s="33"/>
      <c r="N26" s="33"/>
    </row>
    <row r="27" spans="2:14" s="17" customFormat="1" ht="12.75">
      <c r="B27" s="18"/>
      <c r="C27" s="19" t="s">
        <v>71</v>
      </c>
      <c r="D27" s="34" t="s">
        <v>72</v>
      </c>
      <c r="E27" s="34"/>
      <c r="F27" s="34"/>
      <c r="G27" s="34"/>
      <c r="H27" s="34"/>
      <c r="I27" s="34"/>
      <c r="J27" s="34"/>
      <c r="K27" s="34"/>
      <c r="L27" s="34"/>
      <c r="M27" s="34"/>
      <c r="N27" s="34"/>
    </row>
    <row r="28" spans="2:14" s="17" customFormat="1" ht="12.75">
      <c r="B28" s="18"/>
      <c r="C28" s="19" t="s">
        <v>73</v>
      </c>
      <c r="D28" s="35" t="s">
        <v>74</v>
      </c>
      <c r="E28" s="35"/>
      <c r="F28" s="35"/>
      <c r="G28" s="35"/>
      <c r="H28" s="35"/>
      <c r="I28" s="35"/>
      <c r="J28" s="35"/>
      <c r="K28" s="35"/>
      <c r="L28" s="35"/>
      <c r="M28" s="35"/>
      <c r="N28" s="35"/>
    </row>
    <row r="29" spans="2:14" ht="38.25">
      <c r="B29" s="20">
        <v>9</v>
      </c>
      <c r="C29" s="21" t="s">
        <v>75</v>
      </c>
      <c r="D29" s="22" t="s">
        <v>76</v>
      </c>
      <c r="E29" s="22" t="s">
        <v>77</v>
      </c>
      <c r="F29" s="23">
        <v>2.5000000000000001E-2</v>
      </c>
      <c r="G29" s="24">
        <v>1</v>
      </c>
      <c r="H29" s="25">
        <f>F29 * G29 * 23436.85518</f>
        <v>585.92137949999994</v>
      </c>
      <c r="I29" s="25">
        <f>F29 * G29 * 22138.102136</f>
        <v>553.45255340000006</v>
      </c>
      <c r="J29" s="25">
        <f>F29 * G29 * 0</f>
        <v>0</v>
      </c>
      <c r="K29" s="25">
        <f>F29 * G29 * 22311.886131</f>
        <v>557.79715327500003</v>
      </c>
      <c r="L29" s="25">
        <f>F29 * G29 * 7656.57962799999</f>
        <v>191.41449069999976</v>
      </c>
      <c r="M29" s="25">
        <f>F29 * G29 * 4687.371036</f>
        <v>117.18427589999999</v>
      </c>
      <c r="N29" s="26">
        <f>SUM(H29:M29)</f>
        <v>2005.7698527749999</v>
      </c>
    </row>
    <row r="30" spans="2:14" s="17" customFormat="1" ht="12.75">
      <c r="B30" s="18"/>
      <c r="C30" s="19" t="s">
        <v>78</v>
      </c>
      <c r="D30" s="35" t="s">
        <v>79</v>
      </c>
      <c r="E30" s="35"/>
      <c r="F30" s="35"/>
      <c r="G30" s="35"/>
      <c r="H30" s="35"/>
      <c r="I30" s="35"/>
      <c r="J30" s="35"/>
      <c r="K30" s="35"/>
      <c r="L30" s="35"/>
      <c r="M30" s="35"/>
      <c r="N30" s="35"/>
    </row>
    <row r="31" spans="2:14" ht="25.5">
      <c r="B31" s="20">
        <v>10</v>
      </c>
      <c r="C31" s="21" t="s">
        <v>80</v>
      </c>
      <c r="D31" s="22" t="s">
        <v>81</v>
      </c>
      <c r="E31" s="22" t="s">
        <v>77</v>
      </c>
      <c r="F31" s="23">
        <v>0.03</v>
      </c>
      <c r="G31" s="24">
        <v>1</v>
      </c>
      <c r="H31" s="25">
        <f>F31 * G31 * 28932.912</f>
        <v>867.98735999999997</v>
      </c>
      <c r="I31" s="25">
        <f>F31 * G31 * 32979.547279</f>
        <v>989.38641836999989</v>
      </c>
      <c r="J31" s="25">
        <f>F31 * G31 * 0</f>
        <v>0</v>
      </c>
      <c r="K31" s="25">
        <f>F31 * G31 * 27544.132224</f>
        <v>826.32396672000004</v>
      </c>
      <c r="L31" s="25">
        <f>F31 * G31 * 10048.154847</f>
        <v>301.44464540999996</v>
      </c>
      <c r="M31" s="25">
        <f>F31 * G31 * 5786.5824</f>
        <v>173.59747200000001</v>
      </c>
      <c r="N31" s="26">
        <f>SUM(H31:M31)</f>
        <v>3158.7398624999996</v>
      </c>
    </row>
    <row r="32" spans="2:14" s="17" customFormat="1" ht="12.75">
      <c r="B32" s="18"/>
      <c r="C32" s="19" t="s">
        <v>82</v>
      </c>
      <c r="D32" s="35" t="s">
        <v>83</v>
      </c>
      <c r="E32" s="35"/>
      <c r="F32" s="35"/>
      <c r="G32" s="35"/>
      <c r="H32" s="35"/>
      <c r="I32" s="35"/>
      <c r="J32" s="35"/>
      <c r="K32" s="35"/>
      <c r="L32" s="35"/>
      <c r="M32" s="35"/>
      <c r="N32" s="35"/>
    </row>
    <row r="33" spans="2:14">
      <c r="B33" s="20">
        <v>11</v>
      </c>
      <c r="C33" s="21" t="s">
        <v>84</v>
      </c>
      <c r="D33" s="22" t="s">
        <v>85</v>
      </c>
      <c r="E33" s="22" t="s">
        <v>86</v>
      </c>
      <c r="F33" s="23">
        <v>0.17</v>
      </c>
      <c r="G33" s="24">
        <v>1</v>
      </c>
      <c r="H33" s="25">
        <f>F33 * G33 * 7833.7224</f>
        <v>1331.732808</v>
      </c>
      <c r="I33" s="25">
        <f>F33 * G33 * 4906.963041</f>
        <v>834.18371697000009</v>
      </c>
      <c r="J33" s="25">
        <f>F33 * G33 * 0</f>
        <v>0</v>
      </c>
      <c r="K33" s="25">
        <f>F33 * G33 * 7457.703725</f>
        <v>1267.8096332500002</v>
      </c>
      <c r="L33" s="25">
        <f>F33 * G33 * 2296.221599</f>
        <v>390.35767183000002</v>
      </c>
      <c r="M33" s="25">
        <f>F33 * G33 * 1566.74448</f>
        <v>266.34656160000003</v>
      </c>
      <c r="N33" s="26">
        <f>SUM(H33:M33)</f>
        <v>4090.4303916499998</v>
      </c>
    </row>
    <row r="34" spans="2:14" s="17" customFormat="1" ht="12.75">
      <c r="B34" s="18"/>
      <c r="C34" s="19" t="s">
        <v>87</v>
      </c>
      <c r="D34" s="34" t="s">
        <v>88</v>
      </c>
      <c r="E34" s="34"/>
      <c r="F34" s="34"/>
      <c r="G34" s="34"/>
      <c r="H34" s="34"/>
      <c r="I34" s="34"/>
      <c r="J34" s="34"/>
      <c r="K34" s="34"/>
      <c r="L34" s="34"/>
      <c r="M34" s="34"/>
      <c r="N34" s="34"/>
    </row>
    <row r="35" spans="2:14" ht="25.5">
      <c r="B35" s="20">
        <v>12</v>
      </c>
      <c r="C35" s="21" t="s">
        <v>89</v>
      </c>
      <c r="D35" s="22" t="s">
        <v>90</v>
      </c>
      <c r="E35" s="22" t="s">
        <v>24</v>
      </c>
      <c r="F35" s="23">
        <v>0.02</v>
      </c>
      <c r="G35" s="24">
        <v>1</v>
      </c>
      <c r="H35" s="25">
        <f>F35 * G35 * 20853.288</f>
        <v>417.06576000000001</v>
      </c>
      <c r="I35" s="25">
        <f>F35 * G35 * 14281.888527</f>
        <v>285.63777053999996</v>
      </c>
      <c r="J35" s="25">
        <f>F35 * G35 * 0</f>
        <v>0</v>
      </c>
      <c r="K35" s="25">
        <f>F35 * G35 * 19852.330176</f>
        <v>397.04660352000002</v>
      </c>
      <c r="L35" s="25">
        <f>F35 * G35 * 6241.186334</f>
        <v>124.82372668000001</v>
      </c>
      <c r="M35" s="25">
        <f>F35 * G35 * 4170.6576</f>
        <v>83.413151999999997</v>
      </c>
      <c r="N35" s="26">
        <f>SUM(H35:M35)</f>
        <v>1307.98701274</v>
      </c>
    </row>
    <row r="36" spans="2:14" s="14" customFormat="1" ht="15">
      <c r="B36" s="15"/>
      <c r="C36" s="16" t="s">
        <v>91</v>
      </c>
      <c r="D36" s="33" t="s">
        <v>92</v>
      </c>
      <c r="E36" s="33"/>
      <c r="F36" s="33"/>
      <c r="G36" s="33"/>
      <c r="H36" s="33"/>
      <c r="I36" s="33"/>
      <c r="J36" s="33"/>
      <c r="K36" s="33"/>
      <c r="L36" s="33"/>
      <c r="M36" s="33"/>
      <c r="N36" s="33"/>
    </row>
    <row r="37" spans="2:14" ht="25.5">
      <c r="B37" s="20">
        <v>13</v>
      </c>
      <c r="C37" s="21" t="s">
        <v>93</v>
      </c>
      <c r="D37" s="22" t="s">
        <v>94</v>
      </c>
      <c r="E37" s="22" t="s">
        <v>95</v>
      </c>
      <c r="F37" s="23">
        <v>0.4</v>
      </c>
      <c r="G37" s="24">
        <v>2</v>
      </c>
      <c r="H37" s="25">
        <f>F37 * G37 * 2443.6344</f>
        <v>1954.90752</v>
      </c>
      <c r="I37" s="25">
        <f>F37 * G37 * 600.324723</f>
        <v>480.25977839999996</v>
      </c>
      <c r="J37" s="25">
        <f>F37 * G37 * 0</f>
        <v>0</v>
      </c>
      <c r="K37" s="25">
        <f>F37 * G37 * 2326.339949</f>
        <v>1861.0719592000003</v>
      </c>
      <c r="L37" s="25">
        <f>F37 * G37 * 618.127237999999</f>
        <v>494.50179039999921</v>
      </c>
      <c r="M37" s="25">
        <f>F37 * G37 * 488.72688</f>
        <v>390.98150400000003</v>
      </c>
      <c r="N37" s="26">
        <f>SUM(H37:M37)</f>
        <v>5181.7225520000002</v>
      </c>
    </row>
    <row r="38" spans="2:14" s="14" customFormat="1" ht="15">
      <c r="B38" s="15"/>
      <c r="C38" s="16" t="s">
        <v>96</v>
      </c>
      <c r="D38" s="33" t="s">
        <v>97</v>
      </c>
      <c r="E38" s="33"/>
      <c r="F38" s="33"/>
      <c r="G38" s="33"/>
      <c r="H38" s="33"/>
      <c r="I38" s="33"/>
      <c r="J38" s="33"/>
      <c r="K38" s="33"/>
      <c r="L38" s="33"/>
      <c r="M38" s="33"/>
      <c r="N38" s="33"/>
    </row>
    <row r="39" spans="2:14" s="17" customFormat="1" ht="12.75">
      <c r="B39" s="18"/>
      <c r="C39" s="19" t="s">
        <v>98</v>
      </c>
      <c r="D39" s="34" t="s">
        <v>99</v>
      </c>
      <c r="E39" s="34"/>
      <c r="F39" s="34"/>
      <c r="G39" s="34"/>
      <c r="H39" s="34"/>
      <c r="I39" s="34"/>
      <c r="J39" s="34"/>
      <c r="K39" s="34"/>
      <c r="L39" s="34"/>
      <c r="M39" s="34"/>
      <c r="N39" s="34"/>
    </row>
    <row r="40" spans="2:14" s="17" customFormat="1" ht="12.75">
      <c r="B40" s="18"/>
      <c r="C40" s="19" t="s">
        <v>100</v>
      </c>
      <c r="D40" s="35" t="s">
        <v>101</v>
      </c>
      <c r="E40" s="35"/>
      <c r="F40" s="35"/>
      <c r="G40" s="35"/>
      <c r="H40" s="35"/>
      <c r="I40" s="35"/>
      <c r="J40" s="35"/>
      <c r="K40" s="35"/>
      <c r="L40" s="35"/>
      <c r="M40" s="35"/>
      <c r="N40" s="35"/>
    </row>
    <row r="41" spans="2:14" ht="25.5">
      <c r="B41" s="20">
        <v>14</v>
      </c>
      <c r="C41" s="21" t="s">
        <v>102</v>
      </c>
      <c r="D41" s="22" t="s">
        <v>103</v>
      </c>
      <c r="E41" s="22" t="s">
        <v>57</v>
      </c>
      <c r="F41" s="23">
        <v>28.8</v>
      </c>
      <c r="G41" s="24">
        <v>1</v>
      </c>
      <c r="H41" s="25">
        <f>F41 * G41 * 950.793</f>
        <v>27382.838400000001</v>
      </c>
      <c r="I41" s="25">
        <f>F41 * G41 * 7.170829</f>
        <v>206.5198752</v>
      </c>
      <c r="J41" s="25">
        <f>F41 * G41 * 0</f>
        <v>0</v>
      </c>
      <c r="K41" s="25">
        <f>F41 * G41 * 905.154935999999</f>
        <v>26068.462156799971</v>
      </c>
      <c r="L41" s="25">
        <f>F41 * G41 * 216.620762</f>
        <v>6238.6779456000004</v>
      </c>
      <c r="M41" s="25">
        <f>F41 * G41 * 190.1586</f>
        <v>5476.5676800000001</v>
      </c>
      <c r="N41" s="26">
        <f>SUM(H41:M41)</f>
        <v>65373.066057599972</v>
      </c>
    </row>
    <row r="42" spans="2:14" s="17" customFormat="1" ht="12.75">
      <c r="B42" s="18"/>
      <c r="C42" s="19" t="s">
        <v>104</v>
      </c>
      <c r="D42" s="35" t="s">
        <v>105</v>
      </c>
      <c r="E42" s="35"/>
      <c r="F42" s="35"/>
      <c r="G42" s="35"/>
      <c r="H42" s="35"/>
      <c r="I42" s="35"/>
      <c r="J42" s="35"/>
      <c r="K42" s="35"/>
      <c r="L42" s="35"/>
      <c r="M42" s="35"/>
      <c r="N42" s="35"/>
    </row>
    <row r="43" spans="2:14" ht="25.5">
      <c r="B43" s="20">
        <v>15</v>
      </c>
      <c r="C43" s="21" t="s">
        <v>106</v>
      </c>
      <c r="D43" s="22" t="s">
        <v>107</v>
      </c>
      <c r="E43" s="22" t="s">
        <v>108</v>
      </c>
      <c r="F43" s="23">
        <v>86.4</v>
      </c>
      <c r="G43" s="24">
        <v>1</v>
      </c>
      <c r="H43" s="25">
        <f>F43 * G43 * 223.97976</f>
        <v>19351.851264000001</v>
      </c>
      <c r="I43" s="25">
        <f>F43 * G43 * 0</f>
        <v>0</v>
      </c>
      <c r="J43" s="25">
        <f>F43 * G43 * 0</f>
        <v>0</v>
      </c>
      <c r="K43" s="25">
        <f>F43 * G43 * 213.228732</f>
        <v>18422.962444800003</v>
      </c>
      <c r="L43" s="25">
        <f>F43 * G43 * 50.8514689999999</f>
        <v>4393.5669215999915</v>
      </c>
      <c r="M43" s="25">
        <f>F43 * G43 * 44.795952</f>
        <v>3870.3702528000003</v>
      </c>
      <c r="N43" s="26">
        <f>SUM(H43:M43)</f>
        <v>46038.750883200002</v>
      </c>
    </row>
    <row r="44" spans="2:14" s="27" customFormat="1" ht="20.100000000000001" customHeight="1">
      <c r="B44" s="36" t="s">
        <v>109</v>
      </c>
      <c r="C44" s="36"/>
      <c r="D44" s="36"/>
      <c r="E44" s="36"/>
      <c r="F44" s="36"/>
      <c r="G44" s="36"/>
      <c r="H44" s="28">
        <f t="shared" ref="H44:N44" si="0">SUM(H4:H43)</f>
        <v>58688.586341100003</v>
      </c>
      <c r="I44" s="28">
        <f t="shared" si="0"/>
        <v>11288.929124509999</v>
      </c>
      <c r="J44" s="28">
        <f t="shared" si="0"/>
        <v>82.867649479999997</v>
      </c>
      <c r="K44" s="28">
        <f t="shared" si="0"/>
        <v>55901.072312874974</v>
      </c>
      <c r="L44" s="28">
        <f t="shared" si="0"/>
        <v>14527.917410789989</v>
      </c>
      <c r="M44" s="28">
        <f t="shared" si="0"/>
        <v>11743.922746060001</v>
      </c>
      <c r="N44" s="29">
        <f t="shared" si="0"/>
        <v>152233.29558481497</v>
      </c>
    </row>
  </sheetData>
  <mergeCells count="29">
    <mergeCell ref="D39:N39"/>
    <mergeCell ref="D40:N40"/>
    <mergeCell ref="D42:N42"/>
    <mergeCell ref="B44:G44"/>
    <mergeCell ref="D30:N30"/>
    <mergeCell ref="D32:N32"/>
    <mergeCell ref="D34:N34"/>
    <mergeCell ref="D36:N36"/>
    <mergeCell ref="D38:N38"/>
    <mergeCell ref="D23:N23"/>
    <mergeCell ref="D24:N24"/>
    <mergeCell ref="D26:N26"/>
    <mergeCell ref="D27:N27"/>
    <mergeCell ref="D28:N28"/>
    <mergeCell ref="D14:N14"/>
    <mergeCell ref="D17:N17"/>
    <mergeCell ref="D18:N18"/>
    <mergeCell ref="D19:N19"/>
    <mergeCell ref="D21:N21"/>
    <mergeCell ref="D7:N7"/>
    <mergeCell ref="D8:N8"/>
    <mergeCell ref="D10:N10"/>
    <mergeCell ref="D11:N11"/>
    <mergeCell ref="D13:N13"/>
    <mergeCell ref="B2:K3"/>
    <mergeCell ref="L2:M2"/>
    <mergeCell ref="L3:M3"/>
    <mergeCell ref="D4:N4"/>
    <mergeCell ref="D5:N5"/>
  </mergeCells>
  <pageMargins left="0.7" right="0.7" top="0.75" bottom="0.75" header="0.3" footer="0.3"/>
  <pageSetup paperSize="9" scale="61" fitToHeight="0" orientation="landscape" horizontalDpi="4294967295" verticalDpi="4294967295" r:id="rId1"/>
  <headerFooter>
    <oddHeader>&amp;C&amp;KCCCCCC&amp;"Arial"д.Ульянова 16</oddHeader>
    <oddFooter>Стр.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Смета</vt:lpstr>
      <vt:lpstr>Смета!Заголовки_для_печати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д.Ульянова 16</dc:title>
  <dc:creator/>
  <cp:lastModifiedBy/>
  <cp:lastPrinted>2022-03-22T10:32:33Z</cp:lastPrinted>
  <dcterms:created xsi:type="dcterms:W3CDTF">2022-03-22T10:32:33Z</dcterms:created>
  <dcterms:modified xsi:type="dcterms:W3CDTF">2022-03-22T10:33:11Z</dcterms:modified>
</cp:coreProperties>
</file>